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5" activeTab="8" autoFilterDateGrouping="1"/>
  </bookViews>
  <sheets>
    <sheet xmlns:r="http://schemas.openxmlformats.org/officeDocument/2006/relationships" name="1A-Bilant" sheetId="1" state="visible" r:id="rId1"/>
    <sheet xmlns:r="http://schemas.openxmlformats.org/officeDocument/2006/relationships" name="1B-ContPP" sheetId="2" state="visible" r:id="rId2"/>
    <sheet xmlns:r="http://schemas.openxmlformats.org/officeDocument/2006/relationships" name="1C-Analiza_fin_extinsa" sheetId="3" state="visible" r:id="rId3"/>
    <sheet xmlns:r="http://schemas.openxmlformats.org/officeDocument/2006/relationships" name="1D-Analiza_fin_indicatori" sheetId="4" state="visible" r:id="rId4"/>
    <sheet xmlns:r="http://schemas.openxmlformats.org/officeDocument/2006/relationships" name="1E-Intreprindere_in_dificultate" sheetId="5" state="visible" r:id="rId5"/>
    <sheet xmlns:r="http://schemas.openxmlformats.org/officeDocument/2006/relationships" name="2B-Investitie" sheetId="6" state="visible" r:id="rId6"/>
    <sheet xmlns:r="http://schemas.openxmlformats.org/officeDocument/2006/relationships" name="2A-Buget_cerere" sheetId="7" state="visible" r:id="rId7"/>
    <sheet xmlns:r="http://schemas.openxmlformats.org/officeDocument/2006/relationships" name="3A-Proiectii_fin_investitie" sheetId="8" state="visible" r:id="rId8"/>
    <sheet xmlns:r="http://schemas.openxmlformats.org/officeDocument/2006/relationships" name="3B-Rentabilitate_investitie" sheetId="9" state="visible" r:id="rId9"/>
    <sheet xmlns:r="http://schemas.openxmlformats.org/officeDocument/2006/relationships" name="LIST" sheetId="10" state="hidden" r:id="rId10"/>
    <sheet xmlns:r="http://schemas.openxmlformats.org/officeDocument/2006/relationships" name="4-Proiectii_fin_intreprindere" sheetId="11" state="visible" r:id="rId11"/>
    <sheet xmlns:r="http://schemas.openxmlformats.org/officeDocument/2006/relationships" name="Sheet1" sheetId="12" state="visible" r:id="rId12"/>
  </sheets>
  <definedNames>
    <definedName name="TVA">LIST!$A$2:$B$3</definedName>
    <definedName name="_xlnm.Print_Area" localSheetId="7">'3A-Proiectii_fin_investitie'!$A$1:$M$195</definedName>
  </definedNames>
  <calcPr calcId="191029" fullCalcOnLoad="1"/>
</workbook>
</file>

<file path=xl/styles.xml><?xml version="1.0" encoding="utf-8"?>
<styleSheet xmlns="http://schemas.openxmlformats.org/spreadsheetml/2006/main">
  <numFmts count="0"/>
  <fonts count="54">
    <font>
      <name val="Calibri"/>
      <charset val="238"/>
      <family val="2"/>
      <sz val="10"/>
    </font>
    <font>
      <name val="Calibri"/>
      <charset val="238"/>
      <family val="2"/>
      <color theme="1"/>
      <sz val="11"/>
      <scheme val="minor"/>
    </font>
    <font>
      <name val="Calibri"/>
      <family val="2"/>
      <color theme="1"/>
      <sz val="11"/>
      <scheme val="minor"/>
    </font>
    <font>
      <name val="Calibri"/>
      <family val="2"/>
      <color theme="1"/>
      <sz val="11"/>
      <scheme val="minor"/>
    </font>
    <font>
      <name val="Times New Roman"/>
      <family val="1"/>
      <sz val="12"/>
    </font>
    <font>
      <name val="Times New Roman"/>
      <family val="1"/>
      <b val="1"/>
      <sz val="12"/>
    </font>
    <font>
      <name val="Arial"/>
      <family val="2"/>
      <b val="1"/>
      <sz val="10"/>
    </font>
    <font>
      <name val="Times New Roman"/>
      <family val="1"/>
      <sz val="10"/>
    </font>
    <font>
      <name val="Arial"/>
      <family val="2"/>
      <sz val="12"/>
    </font>
    <font>
      <name val="Arial"/>
      <family val="2"/>
      <b val="1"/>
      <sz val="12"/>
    </font>
    <font>
      <name val="Times New Roman"/>
      <family val="1"/>
      <b val="1"/>
      <color theme="1"/>
      <sz val="10"/>
    </font>
    <font>
      <name val="Trebuchet MS"/>
      <family val="2"/>
      <color theme="1"/>
      <sz val="10"/>
    </font>
    <font>
      <name val="Trebuchet MS"/>
      <family val="2"/>
      <b val="1"/>
      <color theme="1"/>
      <sz val="10"/>
    </font>
    <font>
      <name val="Times New Roman"/>
      <family val="1"/>
      <color theme="1"/>
      <sz val="10"/>
    </font>
    <font>
      <name val="Times New Roman"/>
      <family val="1"/>
      <b val="1"/>
      <color theme="1"/>
      <sz val="12"/>
    </font>
    <font>
      <name val="Trebuchet MS"/>
      <family val="2"/>
      <sz val="10"/>
    </font>
    <font>
      <name val="Times New Roman"/>
      <family val="1"/>
      <color theme="0" tint="-0.249977111117893"/>
      <sz val="10"/>
    </font>
    <font>
      <name val="Calibri"/>
      <charset val="238"/>
      <family val="2"/>
      <color theme="1"/>
      <sz val="11"/>
      <scheme val="minor"/>
    </font>
    <font>
      <name val="Calibri"/>
      <family val="2"/>
      <color indexed="8"/>
      <sz val="11"/>
    </font>
    <font>
      <name val="Arial"/>
      <family val="2"/>
      <color theme="1"/>
      <sz val="10"/>
    </font>
    <font>
      <name val="Arial"/>
      <family val="2"/>
      <sz val="14"/>
    </font>
    <font>
      <name val="Calibri"/>
      <charset val="238"/>
      <family val="2"/>
      <b val="1"/>
      <color theme="1"/>
      <sz val="11"/>
      <scheme val="minor"/>
    </font>
    <font>
      <name val="Times New Roman"/>
      <family val="1"/>
      <color theme="1"/>
      <sz val="11"/>
    </font>
    <font>
      <name val="Trebuchet MS"/>
      <family val="2"/>
      <b val="1"/>
      <sz val="10"/>
    </font>
    <font>
      <name val="Trebuchet MS"/>
      <family val="2"/>
      <b val="1"/>
      <color theme="1"/>
      <sz val="11"/>
    </font>
    <font>
      <name val="Calibri"/>
      <charset val="238"/>
      <family val="2"/>
      <color theme="1"/>
      <sz val="9"/>
      <scheme val="minor"/>
    </font>
    <font>
      <name val="Calibri"/>
      <charset val="238"/>
      <family val="2"/>
      <b val="1"/>
      <sz val="10"/>
    </font>
    <font>
      <name val="Calibri"/>
      <charset val="238"/>
      <family val="2"/>
      <b val="1"/>
      <i val="1"/>
      <sz val="10"/>
    </font>
    <font>
      <name val="Calibri"/>
      <charset val="238"/>
      <family val="2"/>
      <sz val="10"/>
    </font>
    <font>
      <name val="Calibri"/>
      <charset val="238"/>
      <family val="2"/>
      <color theme="1"/>
      <sz val="10"/>
      <scheme val="minor"/>
    </font>
    <font>
      <name val="Times New Roman"/>
      <charset val="238"/>
      <family val="1"/>
      <sz val="9"/>
    </font>
    <font>
      <name val="Calibri"/>
      <charset val="238"/>
      <family val="2"/>
      <sz val="10"/>
      <scheme val="minor"/>
    </font>
    <font>
      <name val="Calibri"/>
      <charset val="238"/>
      <family val="2"/>
      <b val="1"/>
      <sz val="10"/>
      <scheme val="minor"/>
    </font>
    <font>
      <name val="Calibri"/>
      <charset val="238"/>
      <family val="2"/>
      <color theme="0" tint="-0.249977111117893"/>
      <sz val="10"/>
      <scheme val="minor"/>
    </font>
    <font>
      <name val="Calibri"/>
      <charset val="238"/>
      <family val="2"/>
      <b val="1"/>
      <color theme="1"/>
      <sz val="10"/>
      <u val="single"/>
      <scheme val="minor"/>
    </font>
    <font>
      <name val="Calibri"/>
      <charset val="238"/>
      <family val="2"/>
      <color theme="1"/>
      <sz val="10"/>
      <u val="single"/>
      <scheme val="minor"/>
    </font>
    <font>
      <name val="Calibri"/>
      <charset val="238"/>
      <family val="2"/>
      <b val="1"/>
      <color theme="1"/>
      <sz val="11"/>
      <u val="single"/>
      <scheme val="minor"/>
    </font>
    <font>
      <name val="Calibri"/>
      <charset val="238"/>
      <family val="2"/>
      <color rgb="FF000000"/>
      <sz val="10"/>
      <scheme val="minor"/>
    </font>
    <font>
      <name val="Calibri"/>
      <charset val="238"/>
      <family val="2"/>
      <b val="1"/>
      <color theme="1"/>
      <sz val="10"/>
      <scheme val="minor"/>
    </font>
    <font>
      <name val="Calibri"/>
      <charset val="238"/>
      <family val="2"/>
      <b val="1"/>
      <sz val="11"/>
      <scheme val="minor"/>
    </font>
    <font>
      <name val="Calibri"/>
      <charset val="238"/>
      <family val="2"/>
      <b val="1"/>
      <color rgb="FFFF0000"/>
      <sz val="10"/>
      <scheme val="minor"/>
    </font>
    <font>
      <name val="Calibri"/>
      <charset val="238"/>
      <family val="2"/>
      <b val="1"/>
      <color theme="1"/>
      <sz val="9"/>
      <scheme val="minor"/>
    </font>
    <font>
      <name val="Calibri"/>
      <charset val="238"/>
      <family val="2"/>
      <sz val="9"/>
      <scheme val="minor"/>
    </font>
    <font>
      <name val="Calibri"/>
      <charset val="238"/>
      <family val="2"/>
      <b val="1"/>
      <sz val="9"/>
      <scheme val="minor"/>
    </font>
    <font>
      <name val="Calibri"/>
      <charset val="238"/>
      <family val="2"/>
      <b val="1"/>
      <color rgb="FFFF0000"/>
      <sz val="9"/>
      <scheme val="minor"/>
    </font>
    <font>
      <name val="Calibri"/>
      <charset val="238"/>
      <family val="2"/>
      <b val="1"/>
      <color theme="1"/>
      <sz val="9"/>
      <u val="single"/>
      <scheme val="minor"/>
    </font>
    <font>
      <name val="Calibri"/>
      <charset val="238"/>
      <family val="2"/>
      <color theme="0" tint="-0.249977111117893"/>
      <sz val="9"/>
      <scheme val="minor"/>
    </font>
    <font>
      <name val="Calibri"/>
      <charset val="238"/>
      <family val="2"/>
      <i val="1"/>
      <color theme="1"/>
      <sz val="10"/>
      <scheme val="minor"/>
    </font>
    <font>
      <name val="Calibri"/>
      <charset val="238"/>
      <family val="2"/>
      <i val="1"/>
      <sz val="10"/>
      <scheme val="minor"/>
    </font>
    <font>
      <name val="Calibri"/>
      <family val="2"/>
      <sz val="9"/>
      <scheme val="minor"/>
    </font>
    <font>
      <name val="Calibri"/>
      <charset val="238"/>
      <family val="2"/>
      <b val="1"/>
      <i val="1"/>
      <sz val="9"/>
      <scheme val="minor"/>
    </font>
    <font>
      <name val="Calibri"/>
      <charset val="238"/>
      <family val="2"/>
      <sz val="8"/>
    </font>
    <font>
      <name val="Calibri"/>
      <family val="2"/>
      <color rgb="FF000000"/>
      <sz val="11"/>
    </font>
    <font>
      <name val="Calibri"/>
      <family val="2"/>
      <color rgb="FF000000"/>
      <sz val="10"/>
    </font>
  </fonts>
  <fills count="10">
    <fill>
      <patternFill/>
    </fill>
    <fill>
      <patternFill patternType="gray125"/>
    </fill>
    <fill>
      <patternFill patternType="solid">
        <fgColor theme="0" tint="-0.1499984740745262"/>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4" tint="0.5999938962981048"/>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28" fillId="0" borderId="0"/>
    <xf numFmtId="0" fontId="17" fillId="0" borderId="0"/>
    <xf numFmtId="0" fontId="3" fillId="0" borderId="0"/>
    <xf numFmtId="9" fontId="18" fillId="0" borderId="0"/>
    <xf numFmtId="0" fontId="3" fillId="0" borderId="0"/>
    <xf numFmtId="9" fontId="28" fillId="0" borderId="0"/>
  </cellStyleXfs>
  <cellXfs count="572">
    <xf numFmtId="0" fontId="0" fillId="0" borderId="0" pivotButton="0" quotePrefix="0" xfId="0"/>
    <xf numFmtId="0" fontId="26" fillId="0" borderId="0" applyAlignment="1" pivotButton="0" quotePrefix="0" xfId="0">
      <alignment horizontal="left" vertical="top" wrapText="1"/>
    </xf>
    <xf numFmtId="0" fontId="26" fillId="0" borderId="13" applyAlignment="1" pivotButton="0" quotePrefix="0" xfId="0">
      <alignment vertical="top"/>
    </xf>
    <xf numFmtId="0" fontId="26" fillId="0" borderId="4" applyAlignment="1" pivotButton="0" quotePrefix="0" xfId="0">
      <alignment vertical="top"/>
    </xf>
    <xf numFmtId="0" fontId="42" fillId="0" borderId="3" applyAlignment="1" pivotButton="0" quotePrefix="0" xfId="4">
      <alignment horizontal="right" vertical="top" wrapText="1"/>
    </xf>
    <xf numFmtId="0" fontId="42" fillId="0" borderId="3" applyAlignment="1" pivotButton="0" quotePrefix="0" xfId="0">
      <alignment horizontal="right" vertical="top" wrapText="1"/>
    </xf>
    <xf numFmtId="4" fontId="42" fillId="0" borderId="3" applyAlignment="1" pivotButton="0" quotePrefix="0" xfId="4">
      <alignment horizontal="left" vertical="top" wrapText="1"/>
    </xf>
    <xf numFmtId="0" fontId="25" fillId="0" borderId="3" applyAlignment="1" pivotButton="0" quotePrefix="0" xfId="0">
      <alignment horizontal="right" vertical="top"/>
    </xf>
    <xf numFmtId="4" fontId="42" fillId="0" borderId="3" applyAlignment="1" pivotButton="0" quotePrefix="0" xfId="0">
      <alignment vertical="top" wrapText="1"/>
    </xf>
    <xf numFmtId="0" fontId="42" fillId="0" borderId="3" applyAlignment="1" pivotButton="0" quotePrefix="0" xfId="0">
      <alignment vertical="top"/>
    </xf>
    <xf numFmtId="0" fontId="43" fillId="0" borderId="0" applyAlignment="1" pivotButton="0" quotePrefix="0" xfId="4">
      <alignment horizontal="right" vertical="top" wrapText="1"/>
    </xf>
    <xf numFmtId="0" fontId="42" fillId="0" borderId="3" applyAlignment="1" pivotButton="0" quotePrefix="0" xfId="0">
      <alignment horizontal="right" vertical="top"/>
    </xf>
    <xf numFmtId="0" fontId="43" fillId="0" borderId="3" applyAlignment="1" pivotButton="0" quotePrefix="0" xfId="0">
      <alignment horizontal="right" vertical="top"/>
    </xf>
    <xf numFmtId="4" fontId="42" fillId="0" borderId="3" applyAlignment="1" pivotButton="0" quotePrefix="0" xfId="0">
      <alignment horizontal="left" vertical="top" wrapText="1"/>
    </xf>
    <xf numFmtId="0" fontId="42" fillId="0" borderId="0" applyAlignment="1" pivotButton="0" quotePrefix="0" xfId="0">
      <alignment horizontal="right" vertical="top"/>
    </xf>
    <xf numFmtId="0" fontId="42" fillId="0" borderId="0" applyAlignment="1" pivotButton="0" quotePrefix="0" xfId="0">
      <alignment horizontal="right" vertical="top"/>
    </xf>
    <xf numFmtId="3" fontId="42" fillId="0" borderId="0" applyAlignment="1" pivotButton="0" quotePrefix="0" xfId="0">
      <alignment horizontal="center" vertical="top"/>
    </xf>
    <xf numFmtId="4" fontId="43" fillId="0" borderId="3" applyAlignment="1" pivotButton="0" quotePrefix="0" xfId="0">
      <alignment vertical="top" wrapText="1"/>
    </xf>
    <xf numFmtId="0" fontId="38" fillId="0" borderId="0" applyAlignment="1" pivotButton="0" quotePrefix="0" xfId="1">
      <alignment horizontal="left" vertical="top"/>
    </xf>
    <xf numFmtId="3" fontId="43" fillId="0" borderId="3" applyAlignment="1" pivotButton="0" quotePrefix="0" xfId="4">
      <alignment horizontal="center" vertical="center" wrapText="1"/>
    </xf>
    <xf numFmtId="0" fontId="15" fillId="0" borderId="0" applyAlignment="1" pivotButton="0" quotePrefix="0" xfId="0">
      <alignment vertical="top"/>
    </xf>
    <xf numFmtId="0" fontId="42"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4">
      <alignment horizontal="center" vertical="top" wrapText="1"/>
    </xf>
    <xf numFmtId="0" fontId="42" fillId="0" borderId="3" applyAlignment="1" pivotButton="0" quotePrefix="1" xfId="0">
      <alignment horizontal="right" vertical="top" wrapText="1"/>
    </xf>
    <xf numFmtId="0" fontId="23" fillId="0" borderId="0" applyAlignment="1" pivotButton="0" quotePrefix="0" xfId="0">
      <alignment vertical="top"/>
    </xf>
    <xf numFmtId="0" fontId="43" fillId="0" borderId="3" applyAlignment="1" pivotButton="0" quotePrefix="0" xfId="0">
      <alignment horizontal="right" vertical="top" wrapText="1"/>
    </xf>
    <xf numFmtId="4" fontId="43" fillId="0" borderId="3" applyAlignment="1" pivotButton="0" quotePrefix="0" xfId="4">
      <alignment horizontal="left" vertical="top" wrapText="1"/>
    </xf>
    <xf numFmtId="4" fontId="43" fillId="0" borderId="3" applyAlignment="1" pivotButton="0" quotePrefix="0" xfId="0">
      <alignment horizontal="left" vertical="top" wrapText="1"/>
    </xf>
    <xf numFmtId="0" fontId="42" fillId="4" borderId="3" applyAlignment="1" pivotButton="0" quotePrefix="0" xfId="0">
      <alignment horizontal="right" vertical="top" wrapText="1"/>
    </xf>
    <xf numFmtId="4" fontId="43" fillId="4" borderId="3" applyAlignment="1" pivotButton="0" quotePrefix="0" xfId="0">
      <alignment vertical="top" wrapText="1"/>
    </xf>
    <xf numFmtId="3" fontId="42" fillId="0" borderId="3" applyAlignment="1" pivotButton="0" quotePrefix="0" xfId="4">
      <alignment vertical="top" wrapText="1"/>
    </xf>
    <xf numFmtId="0" fontId="42" fillId="0" borderId="3" applyAlignment="1" pivotButton="0" quotePrefix="0" xfId="0">
      <alignment vertical="top" wrapText="1"/>
    </xf>
    <xf numFmtId="0" fontId="43" fillId="0" borderId="3" applyAlignment="1" pivotButton="0" quotePrefix="0" xfId="4">
      <alignment horizontal="right" vertical="top" wrapText="1"/>
    </xf>
    <xf numFmtId="0" fontId="42" fillId="0" borderId="0" applyAlignment="1" pivotButton="0" quotePrefix="0" xfId="0">
      <alignment vertical="top"/>
    </xf>
    <xf numFmtId="3" fontId="43" fillId="0" borderId="3" applyAlignment="1" pivotButton="0" quotePrefix="0" xfId="4">
      <alignment horizontal="left" vertical="top" wrapText="1"/>
    </xf>
    <xf numFmtId="3" fontId="43" fillId="0" borderId="4" applyAlignment="1" pivotButton="0" quotePrefix="0" xfId="4">
      <alignment vertical="top" wrapText="1"/>
    </xf>
    <xf numFmtId="0" fontId="42" fillId="0" borderId="0" applyAlignment="1" pivotButton="0" quotePrefix="0" xfId="0">
      <alignment horizontal="right" vertical="top"/>
    </xf>
    <xf numFmtId="0" fontId="36" fillId="0" borderId="0" applyAlignment="1" pivotButton="0" quotePrefix="0" xfId="0">
      <alignment horizontal="left" vertical="top" wrapText="1"/>
    </xf>
    <xf numFmtId="4" fontId="29" fillId="0" borderId="0" applyAlignment="1" pivotButton="0" quotePrefix="0" xfId="0">
      <alignment horizontal="right" vertical="top"/>
    </xf>
    <xf numFmtId="4" fontId="29" fillId="0" borderId="0" applyAlignment="1" pivotButton="0" quotePrefix="0" xfId="0">
      <alignment vertical="top"/>
    </xf>
    <xf numFmtId="0" fontId="29" fillId="0" borderId="0" applyAlignment="1" pivotButton="0" quotePrefix="0" xfId="0">
      <alignment vertical="top"/>
    </xf>
    <xf numFmtId="0" fontId="35" fillId="0" borderId="0" applyAlignment="1" pivotButton="0" quotePrefix="0" xfId="0">
      <alignment horizontal="left" vertical="top" wrapText="1"/>
    </xf>
    <xf numFmtId="0" fontId="32" fillId="0" borderId="3" applyAlignment="1" pivotButton="0" quotePrefix="0" xfId="0">
      <alignment vertical="top" wrapText="1"/>
    </xf>
    <xf numFmtId="4" fontId="31" fillId="0" borderId="0" applyAlignment="1" pivotButton="0" quotePrefix="0" xfId="0">
      <alignment vertical="top"/>
    </xf>
    <xf numFmtId="0" fontId="31" fillId="0" borderId="0" applyAlignment="1" pivotButton="0" quotePrefix="0" xfId="0">
      <alignment vertical="top"/>
    </xf>
    <xf numFmtId="4" fontId="32" fillId="0" borderId="0" applyAlignment="1" pivotButton="0" quotePrefix="0" xfId="0">
      <alignment vertical="top"/>
    </xf>
    <xf numFmtId="0" fontId="32" fillId="0" borderId="0" applyAlignment="1" pivotButton="0" quotePrefix="0" xfId="0">
      <alignment vertical="top"/>
    </xf>
    <xf numFmtId="3" fontId="31" fillId="0" borderId="3" applyAlignment="1" pivotButton="0" quotePrefix="0" xfId="0">
      <alignment vertical="top" wrapText="1"/>
    </xf>
    <xf numFmtId="4" fontId="31" fillId="2" borderId="3" applyAlignment="1" applyProtection="1" pivotButton="0" quotePrefix="0" xfId="0">
      <alignment horizontal="right" vertical="top"/>
      <protection locked="0" hidden="0"/>
    </xf>
    <xf numFmtId="4" fontId="31" fillId="0" borderId="3" applyAlignment="1" pivotButton="0" quotePrefix="0" xfId="0">
      <alignment horizontal="right" vertical="top"/>
    </xf>
    <xf numFmtId="3" fontId="32" fillId="0" borderId="3" applyAlignment="1" pivotButton="0" quotePrefix="0" xfId="0">
      <alignment vertical="top" wrapText="1"/>
    </xf>
    <xf numFmtId="4" fontId="32" fillId="0" borderId="3" applyAlignment="1" pivotButton="0" quotePrefix="0" xfId="0">
      <alignment horizontal="right" vertical="top"/>
    </xf>
    <xf numFmtId="4" fontId="32" fillId="0" borderId="0" applyAlignment="1" pivotButton="0" quotePrefix="0" xfId="0">
      <alignment vertical="top"/>
    </xf>
    <xf numFmtId="0" fontId="32" fillId="0" borderId="0" applyAlignment="1" pivotButton="0" quotePrefix="0" xfId="0">
      <alignment vertical="top"/>
    </xf>
    <xf numFmtId="4" fontId="31" fillId="0" borderId="0" applyAlignment="1" pivotButton="0" quotePrefix="0" xfId="0">
      <alignment vertical="top"/>
    </xf>
    <xf numFmtId="0" fontId="31" fillId="0" borderId="0" applyAlignment="1" pivotButton="0" quotePrefix="0" xfId="0">
      <alignment vertical="top"/>
    </xf>
    <xf numFmtId="4" fontId="32" fillId="0" borderId="3" applyAlignment="1" pivotButton="0" quotePrefix="0" xfId="0">
      <alignment vertical="top"/>
    </xf>
    <xf numFmtId="4" fontId="31" fillId="0" borderId="3" applyAlignment="1" pivotButton="0" quotePrefix="0" xfId="0">
      <alignment horizontal="right" vertical="top"/>
    </xf>
    <xf numFmtId="3" fontId="29" fillId="0" borderId="3" applyAlignment="1" pivotButton="0" quotePrefix="0" xfId="0">
      <alignment vertical="top" wrapText="1"/>
    </xf>
    <xf numFmtId="4" fontId="32" fillId="2" borderId="3" applyAlignment="1" applyProtection="1" pivotButton="0" quotePrefix="0" xfId="0">
      <alignment horizontal="right" vertical="top"/>
      <protection locked="0" hidden="0"/>
    </xf>
    <xf numFmtId="0" fontId="31" fillId="0" borderId="0" applyAlignment="1" pivotButton="0" quotePrefix="0" xfId="0">
      <alignment vertical="top" wrapText="1"/>
    </xf>
    <xf numFmtId="4" fontId="31" fillId="0" borderId="0" applyAlignment="1" pivotButton="0" quotePrefix="0" xfId="0">
      <alignment horizontal="right" vertical="top"/>
    </xf>
    <xf numFmtId="0" fontId="29" fillId="0" borderId="0" applyAlignment="1" pivotButton="0" quotePrefix="0" xfId="0">
      <alignment vertical="top" wrapText="1"/>
    </xf>
    <xf numFmtId="4" fontId="32" fillId="0" borderId="3" applyAlignment="1" pivotButton="0" quotePrefix="0" xfId="0">
      <alignment horizontal="center" vertical="top"/>
    </xf>
    <xf numFmtId="0" fontId="19" fillId="0" borderId="0" applyAlignment="1" pivotButton="0" quotePrefix="0" xfId="0">
      <alignment vertical="top"/>
    </xf>
    <xf numFmtId="0" fontId="32" fillId="0" borderId="3" applyAlignment="1" pivotButton="0" quotePrefix="0" xfId="0">
      <alignment vertical="top"/>
    </xf>
    <xf numFmtId="0" fontId="6" fillId="0" borderId="0" applyAlignment="1" pivotButton="0" quotePrefix="0" xfId="0">
      <alignment vertical="top"/>
    </xf>
    <xf numFmtId="0" fontId="31" fillId="0" borderId="3" applyAlignment="1" pivotButton="0" quotePrefix="0" xfId="0">
      <alignment vertical="top"/>
    </xf>
    <xf numFmtId="4" fontId="31" fillId="2" borderId="3" applyAlignment="1" applyProtection="1" pivotButton="0" quotePrefix="0" xfId="0">
      <alignment vertical="top"/>
      <protection locked="0" hidden="0"/>
    </xf>
    <xf numFmtId="4" fontId="31" fillId="0" borderId="3" applyAlignment="1" pivotButton="0" quotePrefix="0" xfId="0">
      <alignment vertical="top"/>
    </xf>
    <xf numFmtId="0" fontId="0" fillId="0" borderId="0" applyAlignment="1" pivotButton="0" quotePrefix="0" xfId="0">
      <alignment vertical="top"/>
    </xf>
    <xf numFmtId="4" fontId="32" fillId="2" borderId="3" applyAlignment="1" applyProtection="1" pivotButton="0" quotePrefix="0" xfId="0">
      <alignment vertical="top"/>
      <protection locked="0" hidden="0"/>
    </xf>
    <xf numFmtId="4" fontId="6" fillId="0" borderId="0" applyAlignment="1" pivotButton="0" quotePrefix="0" xfId="0">
      <alignment vertical="top"/>
    </xf>
    <xf numFmtId="4" fontId="0" fillId="0" borderId="0" applyAlignment="1" pivotButton="0" quotePrefix="0" xfId="0">
      <alignment vertical="top"/>
    </xf>
    <xf numFmtId="4" fontId="0" fillId="0" borderId="0" applyAlignment="1" pivotButton="0" quotePrefix="0" xfId="0">
      <alignment vertical="top"/>
    </xf>
    <xf numFmtId="0" fontId="42" fillId="0" borderId="0" applyAlignment="1" pivotButton="0" quotePrefix="0" xfId="0">
      <alignment vertical="top" wrapText="1"/>
    </xf>
    <xf numFmtId="1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43" fillId="0" borderId="3" applyAlignment="1" pivotButton="0" quotePrefix="0" xfId="0">
      <alignment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0">
      <alignment vertical="top" wrapText="1"/>
    </xf>
    <xf numFmtId="0" fontId="43" fillId="0" borderId="0" applyAlignment="1" pivotButton="0" quotePrefix="0" xfId="0">
      <alignment vertical="top" wrapText="1"/>
    </xf>
    <xf numFmtId="10" fontId="42" fillId="0" borderId="3" applyAlignment="1" pivotButton="0" quotePrefix="0" xfId="0">
      <alignment vertical="top" wrapText="1"/>
    </xf>
    <xf numFmtId="10" fontId="43" fillId="0" borderId="3" applyAlignment="1" pivotButton="0" quotePrefix="0" xfId="0">
      <alignment vertical="top" wrapText="1"/>
    </xf>
    <xf numFmtId="0" fontId="43" fillId="0" borderId="0" applyAlignment="1" pivotButton="0" quotePrefix="0" xfId="0">
      <alignment vertical="top"/>
    </xf>
    <xf numFmtId="0" fontId="32" fillId="0" borderId="0" applyAlignment="1" pivotButton="0" quotePrefix="0" xfId="0">
      <alignment vertical="top"/>
    </xf>
    <xf numFmtId="0" fontId="5" fillId="0" borderId="0" applyAlignment="1" pivotButton="0" quotePrefix="0" xfId="0">
      <alignment vertical="top"/>
    </xf>
    <xf numFmtId="0" fontId="42" fillId="0" borderId="3" applyAlignment="1" pivotButton="0" quotePrefix="0" xfId="0">
      <alignment vertical="top" wrapText="1"/>
    </xf>
    <xf numFmtId="3" fontId="42" fillId="0" borderId="3" applyAlignment="1" pivotButton="0" quotePrefix="0" xfId="0">
      <alignment vertical="top" wrapText="1"/>
    </xf>
    <xf numFmtId="0" fontId="4" fillId="0" borderId="0" applyAlignment="1" pivotButton="0" quotePrefix="0" xfId="0">
      <alignment vertical="top"/>
    </xf>
    <xf numFmtId="3" fontId="43" fillId="0" borderId="0" applyAlignment="1" pivotButton="0" quotePrefix="0" xfId="0">
      <alignment vertical="top" wrapText="1"/>
    </xf>
    <xf numFmtId="10" fontId="43" fillId="0" borderId="0" applyAlignment="1" pivotButton="0" quotePrefix="0" xfId="0">
      <alignment vertical="top" wrapText="1"/>
    </xf>
    <xf numFmtId="0" fontId="42" fillId="0" borderId="3" applyAlignment="1" pivotButton="0" quotePrefix="0" xfId="0">
      <alignment horizontal="left" vertical="top"/>
    </xf>
    <xf numFmtId="0" fontId="46" fillId="0" borderId="0" applyAlignment="1" pivotButton="0" quotePrefix="0" xfId="0">
      <alignment vertical="top" wrapText="1"/>
    </xf>
    <xf numFmtId="0" fontId="46" fillId="0" borderId="0" applyAlignment="1" pivotButton="0" quotePrefix="0" xfId="0">
      <alignment vertical="top"/>
    </xf>
    <xf numFmtId="0" fontId="33" fillId="0" borderId="0" applyAlignment="1" pivotButton="0" quotePrefix="0" xfId="0">
      <alignment vertical="top"/>
    </xf>
    <xf numFmtId="0" fontId="16" fillId="0" borderId="0" applyAlignment="1" pivotButton="0" quotePrefix="0" xfId="0">
      <alignment vertical="top"/>
    </xf>
    <xf numFmtId="3" fontId="42" fillId="0" borderId="0" applyAlignment="1" pivotButton="0" quotePrefix="0" xfId="0">
      <alignment vertical="top" wrapText="1"/>
    </xf>
    <xf numFmtId="10" fontId="42" fillId="0" borderId="0" applyAlignment="1" pivotButton="0" quotePrefix="0" xfId="0">
      <alignment vertical="top" wrapText="1"/>
    </xf>
    <xf numFmtId="0" fontId="8" fillId="0" borderId="0" applyAlignment="1" pivotButton="0" quotePrefix="0" xfId="0">
      <alignment vertical="top"/>
    </xf>
    <xf numFmtId="0" fontId="20" fillId="0" borderId="0" applyAlignment="1" pivotButton="0" quotePrefix="0" xfId="0">
      <alignment vertical="top"/>
    </xf>
    <xf numFmtId="0" fontId="31" fillId="0" borderId="3" applyAlignment="1" pivotButton="0" quotePrefix="0" xfId="0">
      <alignment vertical="top" wrapText="1"/>
    </xf>
    <xf numFmtId="3" fontId="31" fillId="0" borderId="3" applyAlignment="1" pivotButton="0" quotePrefix="0" xfId="0">
      <alignment vertical="top"/>
    </xf>
    <xf numFmtId="10" fontId="31" fillId="0" borderId="3" applyAlignment="1" pivotButton="0" quotePrefix="0" xfId="0">
      <alignment vertical="top"/>
    </xf>
    <xf numFmtId="3" fontId="31" fillId="0" borderId="0" applyAlignment="1" pivotButton="0" quotePrefix="0" xfId="0">
      <alignment horizontal="right" vertical="top"/>
    </xf>
    <xf numFmtId="0" fontId="32" fillId="0" borderId="3" applyAlignment="1" pivotButton="0" quotePrefix="0" xfId="0">
      <alignment vertical="top" wrapText="1"/>
    </xf>
    <xf numFmtId="0" fontId="31" fillId="0" borderId="3" applyAlignment="1" pivotButton="0" quotePrefix="0" xfId="0">
      <alignment vertical="top" wrapText="1"/>
    </xf>
    <xf numFmtId="3" fontId="31" fillId="0" borderId="3" applyAlignment="1" pivotButton="0" quotePrefix="0" xfId="0">
      <alignment vertical="top"/>
    </xf>
    <xf numFmtId="0" fontId="6" fillId="0" borderId="0" applyAlignment="1" pivotButton="0" quotePrefix="0" xfId="0">
      <alignment vertical="top"/>
    </xf>
    <xf numFmtId="0" fontId="31" fillId="3" borderId="3" applyAlignment="1" pivotButton="0" quotePrefix="0" xfId="0">
      <alignment vertical="top" wrapText="1"/>
    </xf>
    <xf numFmtId="3" fontId="31" fillId="3" borderId="3" applyAlignment="1" pivotButton="0" quotePrefix="0" xfId="0">
      <alignment vertical="top"/>
    </xf>
    <xf numFmtId="0" fontId="32" fillId="0" borderId="3" applyAlignment="1" pivotButton="0" quotePrefix="0" xfId="0">
      <alignment vertical="top" wrapText="1"/>
    </xf>
    <xf numFmtId="0" fontId="31" fillId="0" borderId="3" applyAlignment="1" pivotButton="0" quotePrefix="0" xfId="0">
      <alignment vertical="top" wrapText="1"/>
    </xf>
    <xf numFmtId="9" fontId="31" fillId="0" borderId="3" applyAlignment="1" pivotButton="0" quotePrefix="0" xfId="0">
      <alignment vertical="top"/>
    </xf>
    <xf numFmtId="0" fontId="31" fillId="0" borderId="3" applyAlignment="1" pivotButton="0" quotePrefix="0" xfId="0">
      <alignment vertical="top"/>
    </xf>
    <xf numFmtId="9" fontId="31" fillId="0" borderId="3" applyAlignment="1" pivotButton="0" quotePrefix="0" xfId="0">
      <alignment vertical="top"/>
    </xf>
    <xf numFmtId="2" fontId="31" fillId="0" borderId="3" applyAlignment="1" pivotButton="0" quotePrefix="0" xfId="0">
      <alignment vertical="top"/>
    </xf>
    <xf numFmtId="9" fontId="32" fillId="0" borderId="3" applyAlignment="1" pivotButton="0" quotePrefix="0" xfId="0">
      <alignment vertical="top"/>
    </xf>
    <xf numFmtId="0" fontId="31" fillId="0" borderId="0" applyAlignment="1" pivotButton="0" quotePrefix="0" xfId="0">
      <alignment vertical="top" wrapText="1"/>
    </xf>
    <xf numFmtId="1" fontId="31" fillId="0" borderId="3" applyAlignment="1" pivotButton="0" quotePrefix="0" xfId="0">
      <alignment vertical="top"/>
    </xf>
    <xf numFmtId="0" fontId="9" fillId="0" borderId="0" applyAlignment="1" pivotButton="0" quotePrefix="0" xfId="0">
      <alignment vertical="top"/>
    </xf>
    <xf numFmtId="0" fontId="32"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1" fillId="0" borderId="1" applyAlignment="1" pivotButton="0" quotePrefix="0" xfId="0">
      <alignment vertical="top" wrapText="1"/>
    </xf>
    <xf numFmtId="9" fontId="31" fillId="0" borderId="1" applyAlignment="1" pivotButton="0" quotePrefix="0" xfId="0">
      <alignment vertical="top"/>
    </xf>
    <xf numFmtId="2" fontId="31" fillId="0" borderId="3" applyAlignment="1" pivotButton="0" quotePrefix="0" xfId="0">
      <alignment vertical="top"/>
    </xf>
    <xf numFmtId="0" fontId="31" fillId="0" borderId="0" applyAlignment="1" pivotButton="0" quotePrefix="0" xfId="0">
      <alignment vertical="top" wrapText="1"/>
    </xf>
    <xf numFmtId="0" fontId="31" fillId="0" borderId="0" applyAlignment="1" pivotButton="0" quotePrefix="0" xfId="0">
      <alignment vertical="top"/>
    </xf>
    <xf numFmtId="0" fontId="0" fillId="0" borderId="0" applyAlignment="1" pivotButton="0" quotePrefix="0" xfId="0">
      <alignment horizontal="left" vertical="top"/>
    </xf>
    <xf numFmtId="0" fontId="0" fillId="0" borderId="6" applyAlignment="1" pivotButton="0" quotePrefix="0" xfId="0">
      <alignment vertical="top"/>
    </xf>
    <xf numFmtId="0" fontId="0" fillId="0" borderId="1" applyAlignment="1" pivotButton="0" quotePrefix="0" xfId="0">
      <alignment vertical="top"/>
    </xf>
    <xf numFmtId="0" fontId="0" fillId="0" borderId="9" applyAlignment="1" pivotButton="0" quotePrefix="0" xfId="0">
      <alignment vertical="top"/>
    </xf>
    <xf numFmtId="0" fontId="29" fillId="0" borderId="3" applyAlignment="1" pivotButton="0" quotePrefix="0" xfId="1">
      <alignment vertical="top" wrapText="1"/>
    </xf>
    <xf numFmtId="0" fontId="21" fillId="0" borderId="0" applyAlignment="1" pivotButton="0" quotePrefix="0" xfId="1">
      <alignment vertical="top"/>
    </xf>
    <xf numFmtId="0" fontId="25" fillId="0" borderId="0" applyAlignment="1" pivotButton="0" quotePrefix="0" xfId="1">
      <alignment vertical="top"/>
    </xf>
    <xf numFmtId="0" fontId="22" fillId="0" borderId="0" applyAlignment="1" pivotButton="0" quotePrefix="0" xfId="1">
      <alignment vertical="top"/>
    </xf>
    <xf numFmtId="0" fontId="38" fillId="0" borderId="3" applyAlignment="1" pivotButton="0" quotePrefix="0" xfId="1">
      <alignment horizontal="center" vertical="top" wrapText="1"/>
    </xf>
    <xf numFmtId="0" fontId="38" fillId="0" borderId="3" applyAlignment="1" pivotButton="0" quotePrefix="0" xfId="1">
      <alignment vertical="top" wrapText="1"/>
    </xf>
    <xf numFmtId="4" fontId="11" fillId="0" borderId="0" applyAlignment="1" pivotButton="0" quotePrefix="0" xfId="0">
      <alignment horizontal="center" vertical="top"/>
    </xf>
    <xf numFmtId="4" fontId="11" fillId="0" borderId="0" applyAlignment="1" pivotButton="0" quotePrefix="0" xfId="0">
      <alignment horizontal="center" vertical="top"/>
    </xf>
    <xf numFmtId="4" fontId="15" fillId="0" borderId="0" applyAlignment="1" pivotButton="0" quotePrefix="0" xfId="0">
      <alignment vertical="top"/>
    </xf>
    <xf numFmtId="4" fontId="12" fillId="0" borderId="0" applyAlignment="1" pivotButton="0" quotePrefix="0" xfId="0">
      <alignment horizontal="center" vertical="top"/>
    </xf>
    <xf numFmtId="4" fontId="0" fillId="0" borderId="0" applyAlignment="1" pivotButton="0" quotePrefix="0" xfId="0">
      <alignment vertical="top"/>
    </xf>
    <xf numFmtId="4" fontId="12" fillId="0" borderId="0" applyAlignment="1" pivotButton="0" quotePrefix="0" xfId="0">
      <alignment horizontal="center" vertical="top"/>
    </xf>
    <xf numFmtId="4" fontId="12" fillId="0" borderId="0" applyAlignment="1" pivotButton="0" quotePrefix="0" xfId="0">
      <alignment horizontal="center" vertical="top"/>
    </xf>
    <xf numFmtId="4" fontId="0"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0"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xf>
    <xf numFmtId="3" fontId="42" fillId="0" borderId="0" applyAlignment="1" pivotButton="0" quotePrefix="0" xfId="0">
      <alignment vertical="top"/>
    </xf>
    <xf numFmtId="0" fontId="30" fillId="0" borderId="0" applyAlignment="1" pivotButton="0" quotePrefix="0" xfId="0">
      <alignment vertical="top"/>
    </xf>
    <xf numFmtId="0" fontId="25" fillId="0" borderId="0" applyAlignment="1" pivotButton="0" quotePrefix="0" xfId="0">
      <alignment vertical="top" wrapText="1"/>
    </xf>
    <xf numFmtId="3" fontId="25" fillId="0" borderId="0" applyAlignment="1" pivotButton="0" quotePrefix="0" xfId="0">
      <alignment vertical="top" wrapText="1"/>
    </xf>
    <xf numFmtId="3" fontId="42" fillId="0" borderId="0" applyAlignment="1" pivotButton="0" quotePrefix="0" xfId="0">
      <alignment vertical="top" wrapText="1"/>
    </xf>
    <xf numFmtId="3" fontId="25" fillId="0" borderId="0" applyAlignment="1" pivotButton="0" quotePrefix="0" xfId="0">
      <alignment vertical="top"/>
    </xf>
    <xf numFmtId="0" fontId="25" fillId="0" borderId="0" applyAlignment="1" pivotButton="0" quotePrefix="0" xfId="0">
      <alignment horizontal="left" vertical="top" wrapText="1"/>
    </xf>
    <xf numFmtId="3" fontId="25" fillId="0" borderId="0" applyAlignment="1" pivotButton="0" quotePrefix="0" xfId="0">
      <alignment horizontal="left" vertical="top" wrapText="1"/>
    </xf>
    <xf numFmtId="3" fontId="25" fillId="0" borderId="0" applyAlignment="1" pivotButton="0" quotePrefix="0" xfId="0">
      <alignment vertical="top"/>
    </xf>
    <xf numFmtId="3" fontId="29" fillId="0" borderId="0" applyAlignment="1" pivotButton="0" quotePrefix="0" xfId="0">
      <alignment vertical="top"/>
    </xf>
    <xf numFmtId="3" fontId="41" fillId="0" borderId="0" applyAlignment="1" pivotButton="0" quotePrefix="0" xfId="0">
      <alignment vertical="top"/>
    </xf>
    <xf numFmtId="3" fontId="38" fillId="0" borderId="0" applyAlignment="1" pivotButton="0" quotePrefix="0" xfId="0">
      <alignment vertical="top"/>
    </xf>
    <xf numFmtId="0" fontId="43" fillId="0" borderId="0" applyAlignment="1" pivotButton="0" quotePrefix="0" xfId="0">
      <alignment vertical="top" wrapText="1"/>
    </xf>
    <xf numFmtId="0" fontId="1" fillId="0" borderId="0" applyAlignment="1" pivotButton="0" quotePrefix="0" xfId="1">
      <alignment vertical="top"/>
    </xf>
    <xf numFmtId="3" fontId="32" fillId="0" borderId="3" applyAlignment="1" pivotButton="0" quotePrefix="0" xfId="0">
      <alignment vertical="top"/>
    </xf>
    <xf numFmtId="0" fontId="37" fillId="0" borderId="3" applyAlignment="1" pivotButton="0" quotePrefix="0" xfId="0">
      <alignment vertical="top" wrapText="1"/>
    </xf>
    <xf numFmtId="4" fontId="31"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2" fillId="0" borderId="3" applyAlignment="1" pivotButton="0" quotePrefix="0" xfId="0">
      <alignment vertical="top"/>
    </xf>
    <xf numFmtId="3" fontId="31" fillId="0" borderId="3" applyAlignment="1" pivotButton="0" quotePrefix="0" xfId="0">
      <alignment horizontal="right" vertical="top"/>
    </xf>
    <xf numFmtId="0" fontId="31" fillId="0" borderId="3" applyAlignment="1" pivotButton="0" quotePrefix="0" xfId="1">
      <alignment vertical="top" wrapText="1"/>
    </xf>
    <xf numFmtId="0" fontId="31" fillId="4" borderId="3" applyAlignment="1" pivotButton="0" quotePrefix="0" xfId="0">
      <alignment vertical="top" wrapText="1"/>
    </xf>
    <xf numFmtId="0" fontId="21" fillId="0" borderId="0" applyAlignment="1" pivotButton="0" quotePrefix="0" xfId="1">
      <alignment horizontal="left" vertical="top" wrapText="1"/>
    </xf>
    <xf numFmtId="0" fontId="29" fillId="0" borderId="0" applyAlignment="1" pivotButton="0" quotePrefix="0" xfId="1">
      <alignment vertical="top" wrapText="1"/>
    </xf>
    <xf numFmtId="0" fontId="38" fillId="0" borderId="0" applyAlignment="1" pivotButton="0" quotePrefix="0" xfId="1">
      <alignment vertical="top" wrapText="1"/>
    </xf>
    <xf numFmtId="0" fontId="22" fillId="0" borderId="0" applyAlignment="1" pivotButton="0" quotePrefix="0" xfId="1">
      <alignment vertical="top" wrapText="1"/>
    </xf>
    <xf numFmtId="0" fontId="21" fillId="0" borderId="0" applyAlignment="1" pivotButton="0" quotePrefix="0" xfId="1">
      <alignment vertical="top"/>
    </xf>
    <xf numFmtId="49" fontId="31" fillId="0" borderId="3" applyAlignment="1" pivotButton="0" quotePrefix="0" xfId="1">
      <alignment vertical="top"/>
    </xf>
    <xf numFmtId="49" fontId="31" fillId="0" borderId="7" applyAlignment="1" pivotButton="0" quotePrefix="0" xfId="1">
      <alignment vertical="top"/>
    </xf>
    <xf numFmtId="49" fontId="29" fillId="0" borderId="0" applyAlignment="1" pivotButton="0" quotePrefix="0" xfId="1">
      <alignment vertical="top"/>
    </xf>
    <xf numFmtId="49" fontId="22" fillId="0" borderId="0" applyAlignment="1" pivotButton="0" quotePrefix="0" xfId="1">
      <alignment vertical="top"/>
    </xf>
    <xf numFmtId="49" fontId="29" fillId="0" borderId="3" applyAlignment="1" pivotButton="0" quotePrefix="0" xfId="1">
      <alignment horizontal="left" vertical="top"/>
    </xf>
    <xf numFmtId="0" fontId="32" fillId="0" borderId="3" applyAlignment="1" pivotButton="0" quotePrefix="0" xfId="1">
      <alignment horizontal="right" vertical="top" wrapText="1"/>
    </xf>
    <xf numFmtId="0" fontId="31" fillId="0" borderId="7" applyAlignment="1" pivotButton="0" quotePrefix="0" xfId="1">
      <alignment horizontal="right" vertical="top" wrapText="1"/>
    </xf>
    <xf numFmtId="0" fontId="41" fillId="0" borderId="3" applyAlignment="1" pivotButton="0" quotePrefix="0" xfId="0">
      <alignment horizontal="right" vertical="top"/>
    </xf>
    <xf numFmtId="4" fontId="43" fillId="0" borderId="3" applyAlignment="1" pivotButton="0" quotePrefix="0" xfId="0">
      <alignment horizontal="left" vertical="top" wrapText="1"/>
    </xf>
    <xf numFmtId="3" fontId="43" fillId="0" borderId="3" applyAlignment="1" pivotButton="0" quotePrefix="0" xfId="0">
      <alignment horizontal="center" vertical="center"/>
    </xf>
    <xf numFmtId="3" fontId="42" fillId="0" borderId="0" applyAlignment="1" pivotButton="0" quotePrefix="0" xfId="0">
      <alignment horizontal="right" vertical="top"/>
    </xf>
    <xf numFmtId="0" fontId="38" fillId="0" borderId="0" applyAlignment="1" pivotButton="0" quotePrefix="0" xfId="1">
      <alignment horizontal="right" vertical="top"/>
    </xf>
    <xf numFmtId="3" fontId="43" fillId="0" borderId="3" applyAlignment="1" pivotButton="0" quotePrefix="0" xfId="0">
      <alignment horizontal="right" vertical="top"/>
    </xf>
    <xf numFmtId="3" fontId="42" fillId="2" borderId="3" applyAlignment="1" applyProtection="1" pivotButton="0" quotePrefix="0" xfId="0">
      <alignment horizontal="right" vertical="top"/>
      <protection locked="0" hidden="0"/>
    </xf>
    <xf numFmtId="3" fontId="41" fillId="0" borderId="3" applyAlignment="1" pivotButton="0" quotePrefix="0" xfId="0">
      <alignment horizontal="right" vertical="top"/>
    </xf>
    <xf numFmtId="3" fontId="42" fillId="0" borderId="3" applyAlignment="1" pivotButton="0" quotePrefix="0" xfId="0">
      <alignment horizontal="right" vertical="top"/>
    </xf>
    <xf numFmtId="3" fontId="42" fillId="0" borderId="3" applyAlignment="1" pivotButton="0" quotePrefix="0" xfId="0">
      <alignment horizontal="right" vertical="top"/>
    </xf>
    <xf numFmtId="3" fontId="43" fillId="0" borderId="0" applyAlignment="1" pivotButton="0" quotePrefix="0" xfId="0">
      <alignment horizontal="right" vertical="top"/>
    </xf>
    <xf numFmtId="3" fontId="43" fillId="0" borderId="3" applyAlignment="1" pivotButton="0" quotePrefix="0" xfId="0">
      <alignment horizontal="right" vertical="top"/>
    </xf>
    <xf numFmtId="3" fontId="42" fillId="0" borderId="0" applyAlignment="1" pivotButton="0" quotePrefix="0" xfId="0">
      <alignment horizontal="right" vertical="top"/>
    </xf>
    <xf numFmtId="3" fontId="43" fillId="0" borderId="0" applyAlignment="1" pivotButton="0" quotePrefix="0" xfId="0">
      <alignment horizontal="right" vertical="top"/>
    </xf>
    <xf numFmtId="3" fontId="43" fillId="0" borderId="0" applyAlignment="1" pivotButton="0" quotePrefix="0" xfId="0">
      <alignment horizontal="right" vertical="top"/>
    </xf>
    <xf numFmtId="0" fontId="21" fillId="0" borderId="0" applyAlignment="1" pivotButton="0" quotePrefix="0" xfId="1">
      <alignment horizontal="right" vertical="top"/>
    </xf>
    <xf numFmtId="4" fontId="31" fillId="2" borderId="3" applyAlignment="1" applyProtection="1" pivotButton="0" quotePrefix="0" xfId="1">
      <alignment horizontal="right" vertical="top"/>
      <protection locked="0" hidden="0"/>
    </xf>
    <xf numFmtId="4" fontId="31" fillId="0" borderId="3" applyAlignment="1" pivotButton="0" quotePrefix="0" xfId="1">
      <alignment horizontal="right" vertical="top"/>
    </xf>
    <xf numFmtId="4" fontId="32" fillId="0" borderId="3" applyAlignment="1" pivotButton="0" quotePrefix="0" xfId="1">
      <alignment horizontal="right" vertical="top"/>
    </xf>
    <xf numFmtId="4" fontId="31" fillId="2" borderId="7" applyAlignment="1" applyProtection="1" pivotButton="0" quotePrefix="0" xfId="1">
      <alignment horizontal="right" vertical="top"/>
      <protection locked="0" hidden="0"/>
    </xf>
    <xf numFmtId="4" fontId="31" fillId="0" borderId="7" applyAlignment="1" pivotButton="0" quotePrefix="0" xfId="1">
      <alignment horizontal="right" vertical="top"/>
    </xf>
    <xf numFmtId="4" fontId="32" fillId="0" borderId="7" applyAlignment="1" pivotButton="0" quotePrefix="0" xfId="1">
      <alignment horizontal="right" vertical="top"/>
    </xf>
    <xf numFmtId="4" fontId="29" fillId="0" borderId="0" applyAlignment="1" pivotButton="0" quotePrefix="0" xfId="1">
      <alignment horizontal="right" vertical="top"/>
    </xf>
    <xf numFmtId="4" fontId="29" fillId="0" borderId="0" applyAlignment="1" pivotButton="0" quotePrefix="0" xfId="1">
      <alignment horizontal="right" vertical="top"/>
    </xf>
    <xf numFmtId="4" fontId="29" fillId="6" borderId="3" applyAlignment="1" applyProtection="1" pivotButton="0" quotePrefix="0" xfId="1">
      <alignment horizontal="right" vertical="top"/>
      <protection locked="0" hidden="0"/>
    </xf>
    <xf numFmtId="4" fontId="22" fillId="0" borderId="0" applyAlignment="1" pivotButton="0" quotePrefix="0" xfId="1">
      <alignment horizontal="right" vertical="top"/>
    </xf>
    <xf numFmtId="4" fontId="13" fillId="0" borderId="0" applyAlignment="1" pivotButton="0" quotePrefix="0" xfId="1">
      <alignment horizontal="right" vertical="top"/>
    </xf>
    <xf numFmtId="0" fontId="38" fillId="0" borderId="0" applyAlignment="1" pivotButton="0" quotePrefix="0" xfId="1">
      <alignment horizontal="left" vertical="top" wrapText="1"/>
    </xf>
    <xf numFmtId="4" fontId="42" fillId="0" borderId="3" applyAlignment="1" pivotButton="0" quotePrefix="0" xfId="0">
      <alignment horizontal="left" vertical="top" wrapText="1"/>
    </xf>
    <xf numFmtId="4" fontId="43" fillId="0" borderId="0" applyAlignment="1" pivotButton="0" quotePrefix="0" xfId="0">
      <alignment horizontal="left" vertical="top" wrapText="1"/>
    </xf>
    <xf numFmtId="4" fontId="42" fillId="0" borderId="0" applyAlignment="1" pivotButton="0" quotePrefix="0" xfId="0">
      <alignment vertical="top" wrapText="1"/>
    </xf>
    <xf numFmtId="4" fontId="42" fillId="0" borderId="0" applyAlignment="1" pivotButton="0" quotePrefix="0" xfId="0">
      <alignment vertical="top" wrapText="1"/>
    </xf>
    <xf numFmtId="4" fontId="43" fillId="0" borderId="0" applyAlignment="1" pivotButton="0" quotePrefix="0" xfId="0">
      <alignment vertical="top"/>
    </xf>
    <xf numFmtId="0" fontId="43" fillId="0" borderId="10" applyAlignment="1" pivotButton="0" quotePrefix="0" xfId="0">
      <alignment horizontal="right" vertical="top"/>
    </xf>
    <xf numFmtId="4" fontId="43" fillId="0" borderId="10" applyAlignment="1" pivotButton="0" quotePrefix="0" xfId="0">
      <alignment vertical="top" wrapText="1"/>
    </xf>
    <xf numFmtId="3" fontId="43" fillId="0" borderId="10" applyAlignment="1" pivotButton="0" quotePrefix="0" xfId="0">
      <alignment horizontal="right" vertical="top"/>
    </xf>
    <xf numFmtId="0" fontId="41" fillId="0" borderId="3" applyAlignment="1" pivotButton="0" quotePrefix="0" xfId="0">
      <alignment horizontal="right" vertical="top"/>
    </xf>
    <xf numFmtId="4" fontId="43" fillId="0" borderId="0" applyAlignment="1" pivotButton="0" quotePrefix="0" xfId="0">
      <alignment vertical="top"/>
    </xf>
    <xf numFmtId="4" fontId="6" fillId="0" borderId="0" applyAlignment="1" pivotButton="0" quotePrefix="0" xfId="0">
      <alignment vertical="top"/>
    </xf>
    <xf numFmtId="4" fontId="43" fillId="0" borderId="3" applyAlignment="1" pivotButton="0" quotePrefix="0" xfId="0">
      <alignment vertical="top"/>
    </xf>
    <xf numFmtId="0" fontId="42" fillId="0" borderId="0" applyAlignment="1" pivotButton="0" quotePrefix="0" xfId="0">
      <alignment vertical="top" wrapText="1"/>
    </xf>
    <xf numFmtId="3" fontId="25" fillId="2" borderId="3" applyAlignment="1" applyProtection="1" pivotButton="0" quotePrefix="0" xfId="0">
      <alignment vertical="top" wrapText="1"/>
      <protection locked="0" hidden="0"/>
    </xf>
    <xf numFmtId="9" fontId="25" fillId="0" borderId="3" applyAlignment="1" pivotButton="0" quotePrefix="0" xfId="5">
      <alignment vertical="top" wrapText="1"/>
    </xf>
    <xf numFmtId="3" fontId="25" fillId="0" borderId="3" applyAlignment="1" pivotButton="0" quotePrefix="0" xfId="0">
      <alignment vertical="top" wrapText="1"/>
    </xf>
    <xf numFmtId="0" fontId="41" fillId="0" borderId="3" applyAlignment="1" pivotButton="0" quotePrefix="0" xfId="0">
      <alignment vertical="top" wrapText="1"/>
    </xf>
    <xf numFmtId="3" fontId="41" fillId="0" borderId="3" applyAlignment="1" pivotButton="0" quotePrefix="0" xfId="0">
      <alignment vertical="top"/>
    </xf>
    <xf numFmtId="9" fontId="41" fillId="0" borderId="3" applyAlignment="1" pivotButton="0" quotePrefix="0" xfId="5">
      <alignment vertical="top" wrapText="1"/>
    </xf>
    <xf numFmtId="0" fontId="25" fillId="2" borderId="3" applyAlignment="1" applyProtection="1" pivotButton="0" quotePrefix="0" xfId="0">
      <alignment vertical="top" wrapText="1"/>
      <protection locked="0" hidden="0"/>
    </xf>
    <xf numFmtId="3" fontId="43" fillId="5" borderId="10" applyAlignment="1" pivotButton="0" quotePrefix="0" xfId="0">
      <alignment horizontal="center" vertical="top"/>
    </xf>
    <xf numFmtId="3" fontId="41" fillId="0" borderId="3" applyAlignment="1" pivotButton="0" quotePrefix="0" xfId="0">
      <alignment horizontal="center" vertical="top"/>
    </xf>
    <xf numFmtId="3" fontId="41" fillId="0" borderId="3" applyAlignment="1" pivotButton="0" quotePrefix="0" xfId="0">
      <alignment horizontal="center" vertical="top"/>
    </xf>
    <xf numFmtId="3" fontId="25" fillId="0" borderId="3" applyAlignment="1" pivotButton="0" quotePrefix="0" xfId="0">
      <alignment vertical="top"/>
    </xf>
    <xf numFmtId="0" fontId="25" fillId="0" borderId="3" applyAlignment="1" pivotButton="0" quotePrefix="0" xfId="0">
      <alignment horizontal="right" vertical="top" wrapText="1"/>
    </xf>
    <xf numFmtId="0" fontId="25" fillId="0" borderId="3" applyAlignment="1" pivotButton="0" quotePrefix="0" xfId="0">
      <alignment vertical="top" wrapText="1"/>
    </xf>
    <xf numFmtId="3" fontId="43" fillId="0" borderId="3" applyAlignment="1" pivotButton="0" quotePrefix="0" xfId="4">
      <alignment horizontal="right" vertical="top"/>
    </xf>
    <xf numFmtId="0" fontId="42" fillId="0" borderId="0" applyAlignment="1" pivotButton="0" quotePrefix="0" xfId="0">
      <alignment vertical="top" wrapText="1"/>
    </xf>
    <xf numFmtId="3" fontId="42" fillId="0" borderId="3" applyAlignment="1" pivotButton="0" quotePrefix="0" xfId="0">
      <alignment horizontal="right" vertical="top" wrapText="1"/>
    </xf>
    <xf numFmtId="3" fontId="43" fillId="0" borderId="3" applyAlignment="1" pivotButton="0" quotePrefix="0" xfId="0">
      <alignment horizontal="right" vertical="top" wrapText="1"/>
    </xf>
    <xf numFmtId="3" fontId="43" fillId="4" borderId="3" applyAlignment="1" pivotButton="0" quotePrefix="0" xfId="0">
      <alignment horizontal="right" vertical="top"/>
    </xf>
    <xf numFmtId="3" fontId="42" fillId="0" borderId="3" applyAlignment="1" pivotButton="0" quotePrefix="0" xfId="4">
      <alignment horizontal="right" vertical="top"/>
    </xf>
    <xf numFmtId="3" fontId="42" fillId="0" borderId="3" applyAlignment="1" pivotButton="0" quotePrefix="0" xfId="4">
      <alignment horizontal="right" vertical="top" wrapText="1"/>
    </xf>
    <xf numFmtId="3" fontId="42" fillId="4" borderId="3" applyAlignment="1" pivotButton="0" quotePrefix="0" xfId="4">
      <alignment horizontal="right" vertical="top" wrapText="1"/>
    </xf>
    <xf numFmtId="3" fontId="43" fillId="4" borderId="3" applyAlignment="1" pivotButton="0" quotePrefix="0" xfId="4">
      <alignment horizontal="right" vertical="top" wrapText="1"/>
    </xf>
    <xf numFmtId="3" fontId="42" fillId="2" borderId="3" applyAlignment="1" applyProtection="1" pivotButton="0" quotePrefix="0" xfId="4">
      <alignment horizontal="right" vertical="top" wrapText="1"/>
      <protection locked="0" hidden="0"/>
    </xf>
    <xf numFmtId="3" fontId="43" fillId="0" borderId="3" applyAlignment="1" pivotButton="0" quotePrefix="0" xfId="0">
      <alignment horizontal="center" vertical="center"/>
    </xf>
    <xf numFmtId="3" fontId="15" fillId="0" borderId="0" applyAlignment="1" pivotButton="0" quotePrefix="0" xfId="0">
      <alignment vertical="top"/>
    </xf>
    <xf numFmtId="3" fontId="25" fillId="2" borderId="3" applyAlignment="1" applyProtection="1" pivotButton="0" quotePrefix="0" xfId="0">
      <alignment horizontal="right" vertical="top"/>
      <protection locked="0" hidden="0"/>
    </xf>
    <xf numFmtId="4" fontId="43" fillId="0" borderId="3" applyAlignment="1" pivotButton="0" quotePrefix="0" xfId="0">
      <alignment horizontal="center" vertical="center"/>
    </xf>
    <xf numFmtId="0" fontId="41" fillId="0" borderId="3" applyAlignment="1" pivotButton="0" quotePrefix="0" xfId="0">
      <alignment horizontal="center" vertical="center" wrapText="1"/>
    </xf>
    <xf numFmtId="3" fontId="41" fillId="0" borderId="3" applyAlignment="1" pivotButton="0" quotePrefix="0" xfId="0">
      <alignment horizontal="center" vertical="center" wrapText="1"/>
    </xf>
    <xf numFmtId="4" fontId="32" fillId="4" borderId="3" applyAlignment="1" pivotButton="0" quotePrefix="0" xfId="0">
      <alignment horizontal="right" vertical="top"/>
    </xf>
    <xf numFmtId="0" fontId="36" fillId="0" borderId="0" applyAlignment="1" pivotButton="0" quotePrefix="0" xfId="0">
      <alignment horizontal="lef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41" fillId="0" borderId="3" applyAlignment="1" pivotButton="0" quotePrefix="0" xfId="0">
      <alignment horizontal="center" vertical="top"/>
    </xf>
    <xf numFmtId="3" fontId="43" fillId="0" borderId="3" applyAlignment="1" pivotButton="0" quotePrefix="0" xfId="4">
      <alignment horizontal="right" vertical="top" wrapText="1"/>
    </xf>
    <xf numFmtId="4" fontId="31" fillId="4" borderId="3" applyAlignment="1" pivotButton="0" quotePrefix="0" xfId="0">
      <alignment horizontal="right" vertical="top"/>
    </xf>
    <xf numFmtId="3" fontId="41" fillId="0" borderId="3" applyAlignment="1" pivotButton="0" quotePrefix="0" xfId="0">
      <alignment horizontal="right" vertical="top"/>
    </xf>
    <xf numFmtId="4" fontId="31" fillId="4" borderId="3" applyAlignment="1" pivotButton="0" quotePrefix="0" xfId="0">
      <alignment vertical="top"/>
    </xf>
    <xf numFmtId="0" fontId="38" fillId="0" borderId="3" applyAlignment="1" applyProtection="1" pivotButton="0" quotePrefix="0" xfId="1">
      <alignment horizontal="right" vertical="top" wrapText="1"/>
      <protection locked="0" hidden="0"/>
    </xf>
    <xf numFmtId="0" fontId="31" fillId="0" borderId="0" applyAlignment="1" pivotButton="0" quotePrefix="0" xfId="0">
      <alignment vertical="top"/>
    </xf>
    <xf numFmtId="0" fontId="0" fillId="0" borderId="0" applyAlignment="1" pivotButton="0" quotePrefix="0" xfId="0">
      <alignment vertical="top"/>
    </xf>
    <xf numFmtId="0" fontId="31" fillId="0" borderId="0" applyAlignment="1" pivotButton="0" quotePrefix="0" xfId="0">
      <alignment horizontal="lef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4" fontId="32" fillId="0" borderId="3" applyAlignment="1" pivotButton="0" quotePrefix="0" xfId="0">
      <alignment horizontal="center" vertical="center"/>
    </xf>
    <xf numFmtId="0" fontId="29" fillId="0" borderId="0" applyAlignment="1" pivotButton="0" quotePrefix="0" xfId="0">
      <alignment horizontal="center" vertical="top"/>
    </xf>
    <xf numFmtId="0" fontId="29" fillId="0" borderId="0" applyAlignment="1" pivotButton="0" quotePrefix="0" xfId="0">
      <alignment horizontal="center" vertical="top"/>
    </xf>
    <xf numFmtId="0" fontId="11" fillId="0" borderId="0" applyAlignment="1" pivotButton="0" quotePrefix="0" xfId="0">
      <alignment horizontal="center"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31" fillId="0" borderId="3" applyAlignment="1" pivotButton="0" quotePrefix="0" xfId="0">
      <alignment horizontal="left" vertical="top"/>
    </xf>
    <xf numFmtId="3" fontId="31" fillId="0" borderId="3" applyAlignment="1" pivotButton="0" quotePrefix="0" xfId="0">
      <alignment horizontal="left" vertical="top" wrapText="1"/>
    </xf>
    <xf numFmtId="4" fontId="38"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4" fontId="32" fillId="0" borderId="3" applyAlignment="1" pivotButton="0" quotePrefix="0" xfId="0">
      <alignment horizontal="right" vertical="top"/>
    </xf>
    <xf numFmtId="49" fontId="38" fillId="0" borderId="3" applyAlignment="1" pivotButton="0" quotePrefix="0" xfId="0">
      <alignment horizontal="left" vertical="top"/>
    </xf>
    <xf numFmtId="0" fontId="38" fillId="0" borderId="3" applyAlignment="1" pivotButton="0" quotePrefix="0" xfId="0">
      <alignment horizontal="right" vertical="top" wrapText="1"/>
    </xf>
    <xf numFmtId="3" fontId="24" fillId="0" borderId="0" applyAlignment="1" pivotButton="0" quotePrefix="0" xfId="0">
      <alignment horizontal="center" vertical="top"/>
    </xf>
    <xf numFmtId="0" fontId="29" fillId="0" borderId="0" applyAlignment="1" pivotButton="0" quotePrefix="0" xfId="0">
      <alignment horizontal="left" vertical="top"/>
    </xf>
    <xf numFmtId="0" fontId="29" fillId="0" borderId="0" applyAlignment="1" pivotButton="0" quotePrefix="0" xfId="0">
      <alignment vertical="top" wrapText="1"/>
    </xf>
    <xf numFmtId="4" fontId="32" fillId="0" borderId="0" applyAlignment="1" pivotButton="0" quotePrefix="0" xfId="0">
      <alignment horizontal="right" vertical="top"/>
    </xf>
    <xf numFmtId="4" fontId="32" fillId="0" borderId="0" applyAlignment="1" pivotButton="0" quotePrefix="0" xfId="0">
      <alignment horizontal="center" vertical="top"/>
    </xf>
    <xf numFmtId="3" fontId="13" fillId="0" borderId="0" applyAlignment="1" pivotButton="0" quotePrefix="0" xfId="0">
      <alignment horizontal="center" vertical="top"/>
    </xf>
    <xf numFmtId="0" fontId="38" fillId="0" borderId="0" applyAlignment="1" pivotButton="0" quotePrefix="0" xfId="0">
      <alignment vertical="top" wrapText="1"/>
    </xf>
    <xf numFmtId="4" fontId="32" fillId="0" borderId="3" applyAlignment="1" pivotButton="0" quotePrefix="0" xfId="0">
      <alignment horizontal="center" vertical="center"/>
    </xf>
    <xf numFmtId="0" fontId="7" fillId="0" borderId="0" applyAlignment="1" pivotButton="0" quotePrefix="0" xfId="0">
      <alignment vertical="top"/>
    </xf>
    <xf numFmtId="0" fontId="13" fillId="0" borderId="0" applyAlignment="1" pivotButton="0" quotePrefix="0" xfId="0">
      <alignment horizontal="center" vertical="top"/>
    </xf>
    <xf numFmtId="4" fontId="38" fillId="0" borderId="3" applyAlignment="1" pivotButton="0" quotePrefix="0" xfId="0">
      <alignment horizontal="right" vertical="top"/>
    </xf>
    <xf numFmtId="0" fontId="38" fillId="0" borderId="0" applyAlignment="1" pivotButton="0" quotePrefix="0" xfId="0">
      <alignment horizontal="center" vertical="top"/>
    </xf>
    <xf numFmtId="0" fontId="38" fillId="0" borderId="0" applyAlignment="1" pivotButton="0" quotePrefix="0" xfId="0">
      <alignment horizontal="center" vertical="top"/>
    </xf>
    <xf numFmtId="0" fontId="10" fillId="0" borderId="0" applyAlignment="1" pivotButton="0" quotePrefix="0" xfId="0">
      <alignment horizontal="center" vertical="top"/>
    </xf>
    <xf numFmtId="0" fontId="38" fillId="0" borderId="0" applyAlignment="1" pivotButton="0" quotePrefix="0" xfId="0">
      <alignment horizontal="left" vertical="top"/>
    </xf>
    <xf numFmtId="0" fontId="38" fillId="0" borderId="0" applyAlignment="1" pivotButton="0" quotePrefix="0" xfId="0">
      <alignment horizontal="right" vertical="top" wrapText="1"/>
    </xf>
    <xf numFmtId="0" fontId="12" fillId="0" borderId="0" applyAlignment="1" pivotButton="0" quotePrefix="0" xfId="0">
      <alignment horizontal="center" vertical="top"/>
    </xf>
    <xf numFmtId="0" fontId="32" fillId="0" borderId="0" applyAlignment="1" pivotButton="0" quotePrefix="0" xfId="0">
      <alignment horizontal="left" vertical="top" wrapText="1"/>
    </xf>
    <xf numFmtId="0" fontId="29" fillId="0" borderId="0" applyAlignment="1" pivotButton="0" quotePrefix="0" xfId="0">
      <alignment horizontal="left" vertical="top"/>
    </xf>
    <xf numFmtId="4" fontId="38" fillId="0" borderId="3" applyAlignment="1" pivotButton="0" quotePrefix="0" xfId="0">
      <alignment horizontal="center" vertical="top"/>
    </xf>
    <xf numFmtId="0" fontId="11" fillId="0" borderId="0" applyAlignment="1" pivotButton="0" quotePrefix="0" xfId="0">
      <alignment horizontal="center" vertical="top"/>
    </xf>
    <xf numFmtId="0" fontId="12" fillId="0" borderId="0" applyAlignment="1" pivotButton="0" quotePrefix="0" xfId="0">
      <alignment horizontal="center" vertical="top"/>
    </xf>
    <xf numFmtId="0" fontId="31" fillId="0" borderId="0" applyAlignment="1" pivotButton="0" quotePrefix="0" xfId="0">
      <alignment horizontal="left" vertical="top" wrapText="1"/>
    </xf>
    <xf numFmtId="0" fontId="29" fillId="0" borderId="0" applyAlignment="1" pivotButton="0" quotePrefix="0" xfId="0">
      <alignment horizontal="left" vertical="top"/>
    </xf>
    <xf numFmtId="0" fontId="31" fillId="0" borderId="0" applyAlignment="1" pivotButton="0" quotePrefix="0" xfId="0">
      <alignment horizontal="left" vertical="top"/>
    </xf>
    <xf numFmtId="4" fontId="32" fillId="0" borderId="0" applyAlignment="1" pivotButton="0" quotePrefix="0" xfId="0">
      <alignment horizontal="righ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3" fontId="25" fillId="0" borderId="0" applyAlignment="1" pivotButton="0" quotePrefix="0" xfId="0">
      <alignment vertical="top"/>
    </xf>
    <xf numFmtId="3" fontId="42" fillId="0" borderId="0" applyAlignment="1" pivotButton="0" quotePrefix="0" xfId="0">
      <alignment vertical="top"/>
    </xf>
    <xf numFmtId="0" fontId="43" fillId="0" borderId="13" applyAlignment="1" pivotButton="0" quotePrefix="0" xfId="0">
      <alignment horizontal="right" vertical="top" wrapText="1"/>
    </xf>
    <xf numFmtId="9" fontId="43" fillId="0" borderId="12" applyAlignment="1" pivotButton="0" quotePrefix="0" xfId="0">
      <alignment horizontal="center" vertical="top"/>
    </xf>
    <xf numFmtId="0" fontId="43" fillId="0" borderId="3" applyAlignment="1" pivotButton="0" quotePrefix="0" xfId="0">
      <alignment vertical="top" wrapText="1"/>
    </xf>
    <xf numFmtId="3" fontId="42" fillId="0" borderId="3" applyAlignment="1" pivotButton="0" quotePrefix="0" xfId="0">
      <alignment horizontal="left" vertical="top" wrapText="1"/>
    </xf>
    <xf numFmtId="3" fontId="25"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3" fontId="11" fillId="0" borderId="0" applyAlignment="1" pivotButton="0" quotePrefix="0" xfId="0">
      <alignment horizontal="center" vertical="top"/>
    </xf>
    <xf numFmtId="3" fontId="25" fillId="0" borderId="3" applyAlignment="1" pivotButton="0" quotePrefix="0" xfId="0">
      <alignment horizontal="right" vertical="top"/>
    </xf>
    <xf numFmtId="3" fontId="43" fillId="0" borderId="3" applyAlignment="1" pivotButton="0" quotePrefix="0" xfId="0">
      <alignment horizontal="left" vertical="top" wrapText="1"/>
    </xf>
    <xf numFmtId="3" fontId="41" fillId="0" borderId="3" applyAlignment="1" pivotButton="0" quotePrefix="0" xfId="0">
      <alignment horizontal="right"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12" fillId="0" borderId="0" applyAlignment="1" pivotButton="0" quotePrefix="0" xfId="0">
      <alignment horizontal="center" vertical="top"/>
    </xf>
    <xf numFmtId="3" fontId="32" fillId="0" borderId="0" applyAlignment="1" pivotButton="0" quotePrefix="0" xfId="0">
      <alignment horizontal="center" vertical="top"/>
    </xf>
    <xf numFmtId="3" fontId="23" fillId="0" borderId="0" applyAlignment="1" pivotButton="0" quotePrefix="0" xfId="0">
      <alignment horizontal="center" vertical="top"/>
    </xf>
    <xf numFmtId="3" fontId="23" fillId="0" borderId="0" applyAlignment="1" pivotButton="0" quotePrefix="0" xfId="0">
      <alignment horizontal="center" vertical="top"/>
    </xf>
    <xf numFmtId="3" fontId="41" fillId="0" borderId="3" applyAlignment="1" pivotButton="0" quotePrefix="0" xfId="0">
      <alignment horizontal="left" vertical="top" wrapText="1"/>
    </xf>
    <xf numFmtId="3" fontId="43" fillId="0" borderId="11" applyAlignment="1" pivotButton="0" quotePrefix="0" xfId="0">
      <alignment horizontal="right" vertical="top"/>
    </xf>
    <xf numFmtId="3" fontId="41" fillId="0" borderId="0" applyAlignment="1" pivotButton="0" quotePrefix="0" xfId="0">
      <alignment horizontal="right" vertical="top"/>
    </xf>
    <xf numFmtId="3" fontId="14" fillId="0" borderId="0" applyAlignment="1" pivotButton="0" quotePrefix="0" xfId="0">
      <alignment horizontal="center" vertical="top"/>
    </xf>
    <xf numFmtId="3" fontId="14" fillId="0" borderId="0" applyAlignment="1" pivotButton="0" quotePrefix="0" xfId="0">
      <alignment horizontal="center" vertical="top"/>
    </xf>
    <xf numFmtId="10" fontId="43" fillId="0" borderId="3" applyAlignment="1" pivotButton="0" quotePrefix="0" xfId="0">
      <alignment horizontal="right" vertical="top" wrapText="1"/>
    </xf>
    <xf numFmtId="3" fontId="44" fillId="0" borderId="0" applyAlignment="1" pivotButton="0" quotePrefix="0" xfId="0">
      <alignment horizontal="left" vertical="top" wrapText="1"/>
    </xf>
    <xf numFmtId="3" fontId="43" fillId="0" borderId="0" applyAlignment="1" pivotButton="0" quotePrefix="0" xfId="0">
      <alignment horizontal="center" vertical="top"/>
    </xf>
    <xf numFmtId="0" fontId="7" fillId="0" borderId="0" applyAlignment="1" pivotButton="0" quotePrefix="0" xfId="0">
      <alignment vertical="top"/>
    </xf>
    <xf numFmtId="0" fontId="42" fillId="0" borderId="0" applyAlignment="1" pivotButton="0" quotePrefix="0" xfId="0">
      <alignment horizontal="right" vertical="top" wrapText="1"/>
    </xf>
    <xf numFmtId="0" fontId="0" fillId="0" borderId="0" pivotButton="0" quotePrefix="0" xfId="0"/>
    <xf numFmtId="3" fontId="42" fillId="4" borderId="3" applyAlignment="1" pivotButton="0" quotePrefix="0" xfId="0">
      <alignment horizontal="right" vertical="top"/>
    </xf>
    <xf numFmtId="4" fontId="42" fillId="4" borderId="3" applyAlignment="1" pivotButton="0" quotePrefix="0" xfId="0">
      <alignment vertical="top" wrapText="1"/>
    </xf>
    <xf numFmtId="2" fontId="31" fillId="0" borderId="0" applyAlignment="1" pivotButton="0" quotePrefix="0" xfId="0">
      <alignment vertical="top"/>
    </xf>
    <xf numFmtId="4" fontId="31" fillId="0" borderId="0" applyAlignment="1" pivotButton="0" quotePrefix="0" xfId="0">
      <alignment horizontal="center" vertical="top"/>
    </xf>
    <xf numFmtId="10" fontId="0" fillId="0" borderId="0" applyAlignment="1" pivotButton="0" quotePrefix="0" xfId="0">
      <alignment vertical="top"/>
    </xf>
    <xf numFmtId="0" fontId="31" fillId="7" borderId="3" applyAlignment="1" pivotButton="0" quotePrefix="0" xfId="0">
      <alignment vertical="top" wrapText="1"/>
    </xf>
    <xf numFmtId="2" fontId="31" fillId="7" borderId="3" applyAlignment="1" pivotButton="0" quotePrefix="0" xfId="0">
      <alignment vertical="top"/>
    </xf>
    <xf numFmtId="0" fontId="32" fillId="7" borderId="3" applyAlignment="1" pivotButton="0" quotePrefix="0" xfId="0">
      <alignment vertical="top" wrapText="1"/>
    </xf>
    <xf numFmtId="9" fontId="31" fillId="7" borderId="3" applyAlignment="1" pivotButton="0" quotePrefix="0" xfId="0">
      <alignment vertical="top"/>
    </xf>
    <xf numFmtId="10" fontId="15" fillId="0" borderId="0" applyAlignment="1" pivotButton="0" quotePrefix="0" xfId="0">
      <alignment vertical="top"/>
    </xf>
    <xf numFmtId="4" fontId="42" fillId="0" borderId="0" applyAlignment="1" pivotButton="0" quotePrefix="0" xfId="0">
      <alignment horizontal="left" vertical="top" wrapText="1"/>
    </xf>
    <xf numFmtId="3" fontId="42" fillId="0" borderId="0" applyAlignment="1" pivotButton="0" quotePrefix="0" xfId="0">
      <alignment horizontal="right" vertical="top"/>
    </xf>
    <xf numFmtId="3" fontId="5" fillId="0" borderId="0" applyAlignment="1" pivotButton="0" quotePrefix="0" xfId="0">
      <alignment horizontal="center"/>
    </xf>
    <xf numFmtId="0" fontId="32" fillId="2" borderId="3" applyAlignment="1" applyProtection="1" pivotButton="0" quotePrefix="0" xfId="0">
      <alignment horizontal="center" vertical="top"/>
      <protection locked="0" hidden="0"/>
    </xf>
    <xf numFmtId="0" fontId="32" fillId="0" borderId="3" applyAlignment="1" pivotButton="0" quotePrefix="0" xfId="0">
      <alignment horizontal="center" vertical="top"/>
    </xf>
    <xf numFmtId="0" fontId="43" fillId="0" borderId="3" applyAlignment="1" pivotButton="0" quotePrefix="0" xfId="0">
      <alignment vertical="top" wrapText="1"/>
    </xf>
    <xf numFmtId="0" fontId="32" fillId="0" borderId="3" applyAlignment="1" pivotButton="0" quotePrefix="0" xfId="0">
      <alignment horizontal="center"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0" fontId="4" fillId="0" borderId="0" applyAlignment="1" pivotButton="0" quotePrefix="0" xfId="0">
      <alignment vertical="top"/>
    </xf>
    <xf numFmtId="0" fontId="32" fillId="0" borderId="3" applyAlignment="1" pivotButton="0" quotePrefix="0" xfId="0">
      <alignmen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26" fillId="0" borderId="0" applyAlignment="1" pivotButton="0" quotePrefix="0" xfId="0">
      <alignment horizontal="left" vertical="top"/>
    </xf>
    <xf numFmtId="4" fontId="38" fillId="0" borderId="3" applyAlignment="1" pivotButton="0" quotePrefix="0" xfId="1">
      <alignment horizontal="right" vertical="top"/>
    </xf>
    <xf numFmtId="4" fontId="29" fillId="0" borderId="3" applyAlignment="1" pivotButton="0" quotePrefix="0" xfId="1">
      <alignment horizontal="right" vertical="top"/>
    </xf>
    <xf numFmtId="0" fontId="42" fillId="0" borderId="0" applyAlignment="1" pivotButton="0" quotePrefix="0" xfId="0">
      <alignment horizontal="left" vertical="top" wrapText="1"/>
    </xf>
    <xf numFmtId="4" fontId="47" fillId="0" borderId="3" applyAlignment="1" pivotButton="0" quotePrefix="0" xfId="0">
      <alignment horizontal="right" vertical="top"/>
    </xf>
    <xf numFmtId="49" fontId="42" fillId="0" borderId="0" applyAlignment="1" pivotButton="0" quotePrefix="0" xfId="0">
      <alignment horizontal="center" vertical="top"/>
    </xf>
    <xf numFmtId="0" fontId="42" fillId="4" borderId="5" applyAlignment="1" pivotButton="0" quotePrefix="0" xfId="0">
      <alignment vertical="top"/>
    </xf>
    <xf numFmtId="0" fontId="0" fillId="4" borderId="0" pivotButton="0" quotePrefix="0" xfId="0"/>
    <xf numFmtId="4" fontId="32" fillId="0" borderId="3" applyAlignment="1" pivotButton="0" quotePrefix="0" xfId="1">
      <alignment horizontal="center" vertical="center" wrapText="1"/>
    </xf>
    <xf numFmtId="4" fontId="0" fillId="0" borderId="8" applyAlignment="1" pivotButton="0" quotePrefix="0" xfId="0">
      <alignment horizontal="right" vertical="top"/>
    </xf>
    <xf numFmtId="4" fontId="26" fillId="0" borderId="8" applyAlignment="1" pivotButton="0" quotePrefix="0" xfId="0">
      <alignment horizontal="right" vertical="top"/>
    </xf>
    <xf numFmtId="0" fontId="43" fillId="9" borderId="3" applyAlignment="1" pivotButton="0" quotePrefix="0" xfId="0">
      <alignment vertical="top" wrapText="1"/>
    </xf>
    <xf numFmtId="0" fontId="43" fillId="2" borderId="3" applyAlignment="1" applyProtection="1" pivotButton="0" quotePrefix="0" xfId="0">
      <alignment horizontal="center" vertical="center"/>
      <protection locked="0" hidden="0"/>
    </xf>
    <xf numFmtId="3" fontId="43" fillId="0" borderId="3" applyAlignment="1" pivotButton="0" quotePrefix="0" xfId="4">
      <alignment horizontal="right" vertical="top" wrapText="1"/>
    </xf>
    <xf numFmtId="4" fontId="48" fillId="6" borderId="3" applyAlignment="1" applyProtection="1" pivotButton="0" quotePrefix="0" xfId="0">
      <alignment horizontal="right" vertical="top"/>
      <protection locked="0" hidden="0"/>
    </xf>
    <xf numFmtId="3" fontId="42" fillId="2" borderId="3" applyAlignment="1" applyProtection="1" pivotButton="0" quotePrefix="0" xfId="4">
      <alignment horizontal="right" vertical="top"/>
      <protection locked="0" hidden="0"/>
    </xf>
    <xf numFmtId="0" fontId="39" fillId="0" borderId="0" applyAlignment="1" pivotButton="0" quotePrefix="0" xfId="0">
      <alignment horizontal="left" vertical="top"/>
    </xf>
    <xf numFmtId="0" fontId="0" fillId="0" borderId="0" applyAlignment="1" pivotButton="0" quotePrefix="0" xfId="0">
      <alignment horizontal="left" vertical="top" wrapText="1"/>
    </xf>
    <xf numFmtId="10" fontId="43" fillId="0" borderId="0" applyAlignment="1" pivotButton="0" quotePrefix="0" xfId="0">
      <alignment horizontal="right" vertical="top"/>
    </xf>
    <xf numFmtId="3" fontId="43" fillId="0" borderId="3" applyAlignment="1" pivotButton="0" quotePrefix="0" xfId="0">
      <alignment horizontal="center" vertical="center"/>
    </xf>
    <xf numFmtId="0" fontId="41" fillId="0" borderId="3" applyAlignment="1" pivotButton="0" quotePrefix="0" xfId="0">
      <alignment horizontal="center" vertical="top"/>
    </xf>
    <xf numFmtId="4" fontId="32" fillId="4" borderId="3" applyAlignment="1" pivotButton="0" quotePrefix="0" xfId="0">
      <alignment horizontal="center" vertical="center"/>
    </xf>
    <xf numFmtId="4" fontId="32" fillId="0" borderId="3" applyAlignment="1" pivotButton="0" quotePrefix="0" xfId="0">
      <alignment vertical="center" wrapText="1"/>
    </xf>
    <xf numFmtId="4" fontId="32" fillId="0" borderId="4" applyAlignment="1" pivotButton="0" quotePrefix="0" xfId="0">
      <alignment vertical="center"/>
    </xf>
    <xf numFmtId="3" fontId="43" fillId="0" borderId="3" applyAlignment="1" pivotButton="0" quotePrefix="0" xfId="0">
      <alignment horizontal="center" vertical="center" wrapText="1"/>
    </xf>
    <xf numFmtId="4" fontId="43" fillId="0" borderId="7" applyAlignment="1" pivotButton="0" quotePrefix="0" xfId="0">
      <alignment vertical="top"/>
    </xf>
    <xf numFmtId="0" fontId="41" fillId="0" borderId="3" applyAlignment="1" pivotButton="0" quotePrefix="0" xfId="0">
      <alignment vertical="top"/>
    </xf>
    <xf numFmtId="3" fontId="43" fillId="0" borderId="7" applyAlignment="1" pivotButton="0" quotePrefix="0" xfId="4">
      <alignment horizontal="center" vertical="center" wrapText="1"/>
    </xf>
    <xf numFmtId="0" fontId="0" fillId="0" borderId="0" applyAlignment="1" pivotButton="0" quotePrefix="0" xfId="0">
      <alignment vertical="top"/>
    </xf>
    <xf numFmtId="1" fontId="32" fillId="0" borderId="3" applyAlignment="1" pivotButton="0" quotePrefix="0" xfId="0">
      <alignment horizontal="center" vertical="top"/>
    </xf>
    <xf numFmtId="0" fontId="53" fillId="2" borderId="15" applyAlignment="1" pivotButton="0" quotePrefix="0" xfId="0">
      <alignment horizontal="right" vertical="center" wrapText="1"/>
    </xf>
    <xf numFmtId="3" fontId="31" fillId="0" borderId="4" applyAlignment="1" pivotButton="0" quotePrefix="0" xfId="0">
      <alignment vertical="top" wrapText="1"/>
    </xf>
    <xf numFmtId="4" fontId="31" fillId="2" borderId="5" applyAlignment="1" applyProtection="1" pivotButton="0" quotePrefix="0" xfId="0">
      <alignment horizontal="right" vertical="top"/>
      <protection locked="0" hidden="0"/>
    </xf>
    <xf numFmtId="4" fontId="31" fillId="2" borderId="10" applyAlignment="1" applyProtection="1" pivotButton="0" quotePrefix="0" xfId="0">
      <alignment horizontal="right" vertical="top"/>
      <protection locked="0" hidden="0"/>
    </xf>
    <xf numFmtId="4" fontId="31" fillId="2" borderId="7" applyAlignment="1" applyProtection="1" pivotButton="0" quotePrefix="0" xfId="0">
      <alignment horizontal="right" vertical="top"/>
      <protection locked="0" hidden="0"/>
    </xf>
    <xf numFmtId="0" fontId="53" fillId="2" borderId="3" applyAlignment="1" pivotButton="0" quotePrefix="0" xfId="0">
      <alignment horizontal="right" vertical="center" wrapText="1"/>
    </xf>
    <xf numFmtId="4" fontId="31" fillId="0" borderId="10" applyAlignment="1" pivotButton="0" quotePrefix="0" xfId="0">
      <alignment horizontal="right" vertical="top"/>
    </xf>
    <xf numFmtId="4" fontId="31" fillId="2" borderId="17" applyAlignment="1" applyProtection="1" pivotButton="0" quotePrefix="0" xfId="0">
      <alignment horizontal="right" vertical="top"/>
      <protection locked="0" hidden="0"/>
    </xf>
    <xf numFmtId="4" fontId="32" fillId="0" borderId="7" applyAlignment="1" pivotButton="0" quotePrefix="0" xfId="0">
      <alignment horizontal="right" vertical="top"/>
    </xf>
    <xf numFmtId="0" fontId="53" fillId="2" borderId="3" pivotButton="0" quotePrefix="0" xfId="0"/>
    <xf numFmtId="4" fontId="31" fillId="4" borderId="10" applyAlignment="1" pivotButton="0" quotePrefix="0" xfId="0">
      <alignment horizontal="right" vertical="top"/>
    </xf>
    <xf numFmtId="3" fontId="29" fillId="0" borderId="4" applyAlignment="1" pivotButton="0" quotePrefix="0" xfId="0">
      <alignment vertical="top" wrapText="1"/>
    </xf>
    <xf numFmtId="4" fontId="31" fillId="0" borderId="10" applyAlignment="1" pivotButton="0" quotePrefix="0" xfId="0">
      <alignment horizontal="right" vertical="top"/>
    </xf>
    <xf numFmtId="0" fontId="52" fillId="2" borderId="16" applyAlignment="1" pivotButton="0" quotePrefix="0" xfId="0">
      <alignment vertical="center" wrapText="1"/>
    </xf>
    <xf numFmtId="0" fontId="31" fillId="0" borderId="4" applyAlignment="1" pivotButton="0" quotePrefix="0" xfId="0">
      <alignment vertical="top" wrapText="1"/>
    </xf>
    <xf numFmtId="4" fontId="31" fillId="2" borderId="5" applyAlignment="1" applyProtection="1" pivotButton="0" quotePrefix="0" xfId="0">
      <alignment vertical="top"/>
      <protection locked="0" hidden="0"/>
    </xf>
    <xf numFmtId="0" fontId="32" fillId="0" borderId="10" applyAlignment="1" pivotButton="0" quotePrefix="0" xfId="0">
      <alignment horizontal="center" vertical="top"/>
    </xf>
    <xf numFmtId="4" fontId="31" fillId="2" borderId="7" applyAlignment="1" applyProtection="1" pivotButton="0" quotePrefix="0" xfId="0">
      <alignment vertical="top"/>
      <protection locked="0" hidden="0"/>
    </xf>
    <xf numFmtId="4" fontId="31" fillId="2" borderId="10" applyAlignment="1" applyProtection="1" pivotButton="0" quotePrefix="0" xfId="0">
      <alignment vertical="top"/>
      <protection locked="0" hidden="0"/>
    </xf>
    <xf numFmtId="4" fontId="32" fillId="0" borderId="7" applyAlignment="1" pivotButton="0" quotePrefix="0" xfId="0">
      <alignment vertical="top"/>
    </xf>
    <xf numFmtId="4" fontId="32" fillId="0" borderId="17" applyAlignment="1" pivotButton="0" quotePrefix="0" xfId="0">
      <alignment vertical="top"/>
    </xf>
    <xf numFmtId="0" fontId="52" fillId="2" borderId="3" applyAlignment="1" pivotButton="0" quotePrefix="0" xfId="0">
      <alignment vertical="center" wrapText="1"/>
    </xf>
    <xf numFmtId="0" fontId="37" fillId="0" borderId="4" applyAlignment="1" pivotButton="0" quotePrefix="0" xfId="0">
      <alignment vertical="top" wrapText="1"/>
    </xf>
    <xf numFmtId="0" fontId="53" fillId="2" borderId="10" applyAlignment="1" pivotButton="0" quotePrefix="0" xfId="0">
      <alignment horizontal="right" vertical="center" wrapText="1"/>
    </xf>
    <xf numFmtId="4" fontId="31" fillId="2" borderId="17" applyAlignment="1" applyProtection="1" pivotButton="0" quotePrefix="0" xfId="0">
      <alignment vertical="top"/>
      <protection locked="0" hidden="0"/>
    </xf>
    <xf numFmtId="4" fontId="31" fillId="4" borderId="7" applyAlignment="1" pivotButton="0" quotePrefix="0" xfId="0">
      <alignment vertical="top"/>
    </xf>
    <xf numFmtId="0" fontId="29" fillId="0" borderId="0" applyAlignment="1" pivotButton="0" quotePrefix="0" xfId="0">
      <alignment horizontal="left" vertical="top" wrapText="1"/>
    </xf>
    <xf numFmtId="0" fontId="36" fillId="0" borderId="0" applyAlignment="1" pivotButton="0" quotePrefix="0" xfId="0">
      <alignment horizontal="left" vertical="top" wrapText="1"/>
    </xf>
    <xf numFmtId="0" fontId="39" fillId="0" borderId="0" applyAlignment="1" pivotButton="0" quotePrefix="0" xfId="0">
      <alignment horizontal="left" vertical="top"/>
    </xf>
    <xf numFmtId="0" fontId="31" fillId="0" borderId="0" applyAlignment="1" pivotButton="0" quotePrefix="0" xfId="0">
      <alignment horizontal="left" vertical="top" wrapText="1"/>
    </xf>
    <xf numFmtId="0" fontId="32" fillId="0" borderId="0" applyAlignment="1" pivotButton="0" quotePrefix="0" xfId="0">
      <alignment horizontal="left" vertical="top"/>
    </xf>
    <xf numFmtId="0" fontId="0" fillId="0" borderId="0" applyAlignment="1" pivotButton="0" quotePrefix="0" xfId="0">
      <alignment horizontal="left" vertical="top" wrapText="1"/>
    </xf>
    <xf numFmtId="0" fontId="26" fillId="0" borderId="2" applyAlignment="1" pivotButton="0" quotePrefix="0" xfId="0">
      <alignment horizontal="left" vertical="top" wrapText="1"/>
    </xf>
    <xf numFmtId="0" fontId="26" fillId="0" borderId="5" applyAlignment="1" pivotButton="0" quotePrefix="0" xfId="0">
      <alignment horizontal="left" vertical="top" wrapText="1"/>
    </xf>
    <xf numFmtId="0" fontId="26"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8" applyAlignment="1" pivotButton="0" quotePrefix="0" xfId="0">
      <alignment horizontal="left" vertical="top" wrapText="1"/>
    </xf>
    <xf numFmtId="4" fontId="26" fillId="0" borderId="0" applyAlignment="1" pivotButton="0" quotePrefix="0" xfId="0">
      <alignment horizontal="left" vertical="top"/>
    </xf>
    <xf numFmtId="4" fontId="0" fillId="0" borderId="0" applyAlignment="1" pivotButton="0" quotePrefix="0" xfId="0">
      <alignment horizontal="left" vertical="top" wrapText="1"/>
    </xf>
    <xf numFmtId="4" fontId="0" fillId="0" borderId="0" applyAlignment="1" pivotButton="0" quotePrefix="0" xfId="0">
      <alignment horizontal="left" vertical="top"/>
    </xf>
    <xf numFmtId="4" fontId="26" fillId="0" borderId="0" applyAlignment="1" pivotButton="0" quotePrefix="0" xfId="0">
      <alignment horizontal="left" vertical="top" wrapText="1"/>
    </xf>
    <xf numFmtId="4" fontId="0" fillId="0" borderId="11" applyAlignment="1" pivotButton="0" quotePrefix="0" xfId="0">
      <alignment horizontal="left" vertical="top" wrapText="1"/>
    </xf>
    <xf numFmtId="4" fontId="0" fillId="0" borderId="12" applyAlignment="1" pivotButton="0" quotePrefix="0" xfId="0">
      <alignment horizontal="left" vertical="top" wrapText="1"/>
    </xf>
    <xf numFmtId="4" fontId="26" fillId="0" borderId="8" applyAlignment="1" pivotButton="0" quotePrefix="0" xfId="0">
      <alignment horizontal="left" vertical="top" wrapText="1"/>
    </xf>
    <xf numFmtId="0" fontId="26" fillId="2" borderId="0" applyAlignment="1" pivotButton="0" quotePrefix="0" xfId="0">
      <alignment horizontal="left" vertical="top" wrapText="1"/>
    </xf>
    <xf numFmtId="0" fontId="26" fillId="2" borderId="8" applyAlignment="1" pivotButton="0" quotePrefix="0" xfId="0">
      <alignment horizontal="left" vertical="top" wrapText="1"/>
    </xf>
    <xf numFmtId="0" fontId="0" fillId="0" borderId="11" applyAlignment="1" pivotButton="0" quotePrefix="0" xfId="0">
      <alignment horizontal="left" vertical="top" wrapText="1"/>
    </xf>
    <xf numFmtId="0" fontId="0" fillId="0" borderId="12" applyAlignment="1" pivotButton="0" quotePrefix="0" xfId="0">
      <alignment horizontal="left" vertical="top" wrapText="1"/>
    </xf>
    <xf numFmtId="0" fontId="38" fillId="0" borderId="3" applyAlignment="1" pivotButton="0" quotePrefix="0" xfId="0">
      <alignment horizontal="left" vertical="top" wrapText="1"/>
    </xf>
    <xf numFmtId="0" fontId="29" fillId="0" borderId="3" applyAlignment="1" pivotButton="0" quotePrefix="0" xfId="0">
      <alignment horizontal="left" vertical="top" wrapText="1"/>
    </xf>
    <xf numFmtId="0" fontId="47" fillId="0" borderId="4" applyAlignment="1" pivotButton="0" quotePrefix="0" xfId="0">
      <alignment horizontal="left" vertical="top" wrapText="1"/>
    </xf>
    <xf numFmtId="0" fontId="47" fillId="0" borderId="5" applyAlignment="1" pivotButton="0" quotePrefix="0" xfId="0">
      <alignment horizontal="left" vertical="top" wrapText="1"/>
    </xf>
    <xf numFmtId="0" fontId="38" fillId="0" borderId="0" applyAlignment="1" pivotButton="0" quotePrefix="0" xfId="1">
      <alignment horizontal="left" vertical="top"/>
    </xf>
    <xf numFmtId="0" fontId="29" fillId="0" borderId="0" applyAlignment="1" pivotButton="0" quotePrefix="0" xfId="0">
      <alignment horizontal="left" vertical="top"/>
    </xf>
    <xf numFmtId="4" fontId="32" fillId="0" borderId="10" applyAlignment="1" pivotButton="0" quotePrefix="0" xfId="0">
      <alignment horizontal="left" vertical="center" wrapText="1"/>
    </xf>
    <xf numFmtId="4" fontId="32" fillId="0" borderId="7" applyAlignment="1" pivotButton="0" quotePrefix="0" xfId="0">
      <alignment horizontal="left" vertical="center" wrapText="1"/>
    </xf>
    <xf numFmtId="4" fontId="32" fillId="0" borderId="3" applyAlignment="1" pivotButton="0" quotePrefix="0" xfId="0">
      <alignment horizontal="right" vertical="center" wrapText="1"/>
    </xf>
    <xf numFmtId="4" fontId="32" fillId="0" borderId="3" applyAlignment="1" pivotButton="0" quotePrefix="0" xfId="0">
      <alignment horizontal="center" vertical="center" wrapText="1"/>
    </xf>
    <xf numFmtId="4" fontId="32" fillId="0" borderId="10" applyAlignment="1" pivotButton="0" quotePrefix="0" xfId="0">
      <alignment horizontal="center" vertical="center" wrapText="1"/>
    </xf>
    <xf numFmtId="4" fontId="32" fillId="0" borderId="7" applyAlignment="1" pivotButton="0" quotePrefix="0" xfId="0">
      <alignment horizontal="center" vertical="center" wrapText="1"/>
    </xf>
    <xf numFmtId="0" fontId="38" fillId="0" borderId="3" applyAlignment="1" pivotButton="0" quotePrefix="0" xfId="0">
      <alignment horizontal="left" vertical="center" wrapText="1"/>
    </xf>
    <xf numFmtId="0" fontId="32" fillId="0" borderId="0" applyAlignment="1" pivotButton="0" quotePrefix="0" xfId="0">
      <alignment horizontal="right" vertical="top" wrapText="1"/>
    </xf>
    <xf numFmtId="0" fontId="32" fillId="0" borderId="4" applyAlignment="1" pivotButton="0" quotePrefix="0" xfId="0">
      <alignment horizontal="right" vertical="top" wrapText="1"/>
    </xf>
    <xf numFmtId="0" fontId="32" fillId="0" borderId="5" applyAlignment="1" pivotButton="0" quotePrefix="0" xfId="0">
      <alignment horizontal="right" vertical="top" wrapText="1"/>
    </xf>
    <xf numFmtId="0" fontId="31" fillId="0" borderId="4" applyAlignment="1" pivotButton="0" quotePrefix="0" xfId="0">
      <alignment horizontal="right" vertical="top" wrapText="1"/>
    </xf>
    <xf numFmtId="0" fontId="31" fillId="0" borderId="5" applyAlignment="1" pivotButton="0" quotePrefix="0" xfId="0">
      <alignment horizontal="right" vertical="top" wrapText="1"/>
    </xf>
    <xf numFmtId="0" fontId="34" fillId="0" borderId="4" applyAlignment="1" pivotButton="0" quotePrefix="0" xfId="0">
      <alignment horizontal="right" vertical="top" wrapText="1"/>
    </xf>
    <xf numFmtId="0" fontId="34" fillId="0" borderId="5" applyAlignment="1" pivotButton="0" quotePrefix="0" xfId="0">
      <alignment horizontal="right" vertical="top" wrapText="1"/>
    </xf>
    <xf numFmtId="0" fontId="32" fillId="0" borderId="8" applyAlignment="1" pivotButton="0" quotePrefix="0" xfId="0">
      <alignment horizontal="right" vertical="top" wrapText="1"/>
    </xf>
    <xf numFmtId="0" fontId="31" fillId="0" borderId="3" applyAlignment="1" pivotButton="0" quotePrefix="0" xfId="0">
      <alignment horizontal="right" vertical="top" wrapText="1"/>
    </xf>
    <xf numFmtId="9" fontId="38" fillId="0" borderId="6" applyAlignment="1" pivotButton="0" quotePrefix="0" xfId="5">
      <alignment horizontal="center" vertical="top"/>
    </xf>
    <xf numFmtId="9" fontId="38" fillId="0" borderId="0" applyAlignment="1" pivotButton="0" quotePrefix="0" xfId="5">
      <alignment horizontal="center" vertical="top"/>
    </xf>
    <xf numFmtId="0" fontId="21" fillId="0" borderId="0" applyAlignment="1" pivotButton="0" quotePrefix="0" xfId="1">
      <alignment horizontal="left" vertical="top"/>
    </xf>
    <xf numFmtId="4" fontId="32" fillId="0" borderId="3" applyAlignment="1" pivotButton="0" quotePrefix="0" xfId="1">
      <alignment horizontal="center" vertical="center" wrapText="1"/>
    </xf>
    <xf numFmtId="4" fontId="32" fillId="0" borderId="10" applyAlignment="1" pivotButton="0" quotePrefix="0" xfId="1">
      <alignment horizontal="center" vertical="center" wrapText="1"/>
    </xf>
    <xf numFmtId="4" fontId="32" fillId="0" borderId="7" applyAlignment="1" pivotButton="0" quotePrefix="0" xfId="1">
      <alignment horizontal="center" vertical="center" wrapText="1"/>
    </xf>
    <xf numFmtId="0" fontId="32" fillId="0" borderId="10" applyAlignment="1" pivotButton="0" quotePrefix="0" xfId="1">
      <alignment horizontal="center" vertical="center" wrapText="1"/>
    </xf>
    <xf numFmtId="0" fontId="32" fillId="0" borderId="7" applyAlignment="1" pivotButton="0" quotePrefix="0" xfId="1">
      <alignment horizontal="center" vertical="center" wrapText="1"/>
    </xf>
    <xf numFmtId="49" fontId="32" fillId="0" borderId="10" applyAlignment="1" pivotButton="0" quotePrefix="0" xfId="1">
      <alignment vertical="center"/>
    </xf>
    <xf numFmtId="49" fontId="32" fillId="0" borderId="7" applyAlignment="1" pivotButton="0" quotePrefix="0" xfId="1">
      <alignment vertical="center"/>
    </xf>
    <xf numFmtId="4" fontId="43" fillId="0" borderId="4" applyAlignment="1" pivotButton="0" quotePrefix="0" xfId="0">
      <alignment horizontal="left" vertical="top"/>
    </xf>
    <xf numFmtId="4" fontId="43" fillId="0" borderId="2" applyAlignment="1" pivotButton="0" quotePrefix="0" xfId="0">
      <alignment horizontal="left" vertical="top"/>
    </xf>
    <xf numFmtId="4" fontId="43" fillId="0" borderId="5" applyAlignment="1" pivotButton="0" quotePrefix="0" xfId="0">
      <alignment horizontal="left" vertical="top"/>
    </xf>
    <xf numFmtId="4" fontId="43" fillId="0" borderId="4" applyAlignment="1" pivotButton="0" quotePrefix="0" xfId="0">
      <alignment horizontal="left" vertical="top" wrapText="1"/>
    </xf>
    <xf numFmtId="4" fontId="43" fillId="0" borderId="2" applyAlignment="1" pivotButton="0" quotePrefix="0" xfId="0">
      <alignment horizontal="left" vertical="top" wrapText="1"/>
    </xf>
    <xf numFmtId="4" fontId="43" fillId="0" borderId="5" applyAlignment="1" pivotButton="0" quotePrefix="0" xfId="0">
      <alignment horizontal="left" vertical="top" wrapText="1"/>
    </xf>
    <xf numFmtId="4" fontId="43" fillId="8" borderId="1" applyAlignment="1" pivotButton="0" quotePrefix="0" xfId="0">
      <alignment horizontal="left" vertical="top" wrapText="1"/>
    </xf>
    <xf numFmtId="3" fontId="41" fillId="0" borderId="4" applyAlignment="1" pivotButton="0" quotePrefix="0" xfId="0">
      <alignment horizontal="center" vertical="center" wrapText="1"/>
    </xf>
    <xf numFmtId="3" fontId="41" fillId="0" borderId="2" applyAlignment="1" pivotButton="0" quotePrefix="0" xfId="0">
      <alignment horizontal="center" vertical="center" wrapText="1"/>
    </xf>
    <xf numFmtId="3" fontId="41" fillId="0" borderId="5" applyAlignment="1" pivotButton="0" quotePrefix="0" xfId="0">
      <alignment horizontal="center" vertical="center" wrapText="1"/>
    </xf>
    <xf numFmtId="4" fontId="43" fillId="0" borderId="0" applyAlignment="1" pivotButton="0" quotePrefix="0" xfId="0">
      <alignment horizontal="left" vertical="top"/>
    </xf>
    <xf numFmtId="0" fontId="25" fillId="0" borderId="3" applyAlignment="1" pivotButton="0" quotePrefix="0" xfId="4">
      <alignment horizontal="center" vertical="center" wrapText="1"/>
    </xf>
    <xf numFmtId="4" fontId="25" fillId="0" borderId="3" applyAlignment="1" pivotButton="0" quotePrefix="0" xfId="0">
      <alignment horizontal="center" vertical="center" wrapText="1"/>
    </xf>
    <xf numFmtId="3" fontId="43" fillId="0" borderId="3" applyAlignment="1" pivotButton="0" quotePrefix="0" xfId="0">
      <alignment horizontal="center" vertical="center"/>
    </xf>
    <xf numFmtId="4" fontId="41" fillId="0" borderId="4" applyAlignment="1" pivotButton="0" quotePrefix="0" xfId="0">
      <alignment horizontal="left" vertical="top"/>
    </xf>
    <xf numFmtId="4" fontId="41" fillId="0" borderId="2" applyAlignment="1" pivotButton="0" quotePrefix="0" xfId="0">
      <alignment horizontal="left" vertical="top"/>
    </xf>
    <xf numFmtId="4" fontId="41" fillId="0" borderId="5" applyAlignment="1" pivotButton="0" quotePrefix="0" xfId="0">
      <alignment horizontal="left" vertical="top"/>
    </xf>
    <xf numFmtId="4" fontId="43" fillId="8" borderId="2" applyAlignment="1" pivotButton="0" quotePrefix="0" xfId="0">
      <alignment horizontal="left" vertical="top"/>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4" fontId="43" fillId="0" borderId="3" applyAlignment="1" pivotButton="0" quotePrefix="0" xfId="0">
      <alignment horizontal="left" vertical="center" wrapText="1"/>
    </xf>
    <xf numFmtId="4" fontId="25" fillId="0" borderId="0" applyAlignment="1" pivotButton="0" quotePrefix="0" xfId="0">
      <alignment horizontal="left" vertical="top" wrapText="1"/>
    </xf>
    <xf numFmtId="3" fontId="43" fillId="0" borderId="10" applyAlignment="1" pivotButton="0" quotePrefix="0" xfId="0">
      <alignment horizontal="center" vertical="center"/>
    </xf>
    <xf numFmtId="3" fontId="43" fillId="0" borderId="7" applyAlignment="1" pivotButton="0" quotePrefix="0" xfId="0">
      <alignment horizontal="center" vertical="center"/>
    </xf>
    <xf numFmtId="4" fontId="43" fillId="8" borderId="1" applyAlignment="1" pivotButton="0" quotePrefix="0" xfId="0">
      <alignment horizontal="left" vertical="top"/>
    </xf>
    <xf numFmtId="4" fontId="43" fillId="0" borderId="13" applyAlignment="1" pivotButton="0" quotePrefix="0" xfId="0">
      <alignment horizontal="left" vertical="center" wrapText="1"/>
    </xf>
    <xf numFmtId="4" fontId="43" fillId="0" borderId="12" applyAlignment="1" pivotButton="0" quotePrefix="0" xfId="0">
      <alignment horizontal="left" vertical="center" wrapText="1"/>
    </xf>
    <xf numFmtId="4" fontId="43" fillId="0" borderId="14" applyAlignment="1" pivotButton="0" quotePrefix="0" xfId="0">
      <alignment horizontal="left" vertical="center" wrapText="1"/>
    </xf>
    <xf numFmtId="4" fontId="43" fillId="0" borderId="9" applyAlignment="1" pivotButton="0" quotePrefix="0" xfId="0">
      <alignment horizontal="left" vertical="center" wrapText="1"/>
    </xf>
    <xf numFmtId="4" fontId="43" fillId="0" borderId="4" applyAlignment="1" pivotButton="0" quotePrefix="0" xfId="0">
      <alignment horizontal="left" vertical="top" wrapText="1"/>
    </xf>
    <xf numFmtId="4" fontId="43" fillId="0" borderId="5" applyAlignment="1" pivotButton="0" quotePrefix="0" xfId="0">
      <alignment horizontal="left" vertical="top" wrapText="1"/>
    </xf>
    <xf numFmtId="0" fontId="41" fillId="0" borderId="4" applyAlignment="1" pivotButton="0" quotePrefix="0" xfId="0">
      <alignment horizontal="center" vertical="top"/>
    </xf>
    <xf numFmtId="0" fontId="41" fillId="0" borderId="2" applyAlignment="1" pivotButton="0" quotePrefix="0" xfId="0">
      <alignment horizontal="center" vertical="top"/>
    </xf>
    <xf numFmtId="0" fontId="41" fillId="0" borderId="5" applyAlignment="1" pivotButton="0" quotePrefix="0" xfId="0">
      <alignment horizontal="center" vertical="top"/>
    </xf>
    <xf numFmtId="0" fontId="41" fillId="0" borderId="3" applyAlignment="1" pivotButton="0" quotePrefix="0" xfId="0">
      <alignment horizontal="center" vertical="center" wrapText="1"/>
    </xf>
    <xf numFmtId="0" fontId="42" fillId="0" borderId="0" applyAlignment="1" pivotButton="0" quotePrefix="0" xfId="0">
      <alignment horizontal="left" vertical="top" wrapText="1"/>
    </xf>
    <xf numFmtId="3" fontId="43" fillId="0" borderId="13" applyAlignment="1" pivotButton="0" quotePrefix="0" xfId="0">
      <alignment horizontal="left" vertical="top"/>
    </xf>
    <xf numFmtId="3" fontId="43" fillId="0" borderId="11" applyAlignment="1" pivotButton="0" quotePrefix="0" xfId="0">
      <alignment horizontal="left" vertical="top"/>
    </xf>
    <xf numFmtId="3" fontId="43" fillId="0" borderId="12" applyAlignment="1" pivotButton="0" quotePrefix="0" xfId="0">
      <alignment horizontal="left" vertical="top"/>
    </xf>
    <xf numFmtId="0" fontId="25" fillId="0" borderId="0" applyAlignment="1" pivotButton="0" quotePrefix="0" xfId="0">
      <alignment horizontal="left" vertical="top" wrapText="1"/>
    </xf>
    <xf numFmtId="3" fontId="41" fillId="0" borderId="3" applyAlignment="1" pivotButton="0" quotePrefix="0" xfId="0">
      <alignment horizontal="center" vertical="top"/>
    </xf>
    <xf numFmtId="0" fontId="42" fillId="4" borderId="13" applyAlignment="1" pivotButton="0" quotePrefix="0" xfId="0">
      <alignment horizontal="center" vertical="top" wrapText="1"/>
    </xf>
    <xf numFmtId="0" fontId="42" fillId="4" borderId="14" applyAlignment="1" pivotButton="0" quotePrefix="0" xfId="0">
      <alignment horizontal="center" vertical="top" wrapText="1"/>
    </xf>
    <xf numFmtId="4" fontId="43" fillId="0" borderId="3" applyAlignment="1" pivotButton="0" quotePrefix="0" xfId="0">
      <alignment horizontal="right" vertical="top" wrapText="1"/>
    </xf>
    <xf numFmtId="4" fontId="43" fillId="0" borderId="3" applyAlignment="1" pivotButton="0" quotePrefix="0" xfId="0">
      <alignment horizontal="left" vertical="top" wrapText="1"/>
    </xf>
    <xf numFmtId="3" fontId="43" fillId="0" borderId="3" applyAlignment="1" pivotButton="0" quotePrefix="0" xfId="4">
      <alignment horizontal="center" vertical="center"/>
    </xf>
    <xf numFmtId="0" fontId="43" fillId="0" borderId="0" applyAlignment="1" pivotButton="0" quotePrefix="0" xfId="0">
      <alignment horizontal="left" vertical="top"/>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4" fontId="43" fillId="0" borderId="4" applyAlignment="1" pivotButton="0" quotePrefix="0" xfId="0">
      <alignment horizontal="left" vertical="top"/>
    </xf>
    <xf numFmtId="4" fontId="43" fillId="0" borderId="5" applyAlignment="1" pivotButton="0" quotePrefix="0" xfId="0">
      <alignment horizontal="left" vertical="top"/>
    </xf>
    <xf numFmtId="0" fontId="43" fillId="0" borderId="1" applyAlignment="1" pivotButton="0" quotePrefix="0" xfId="0">
      <alignment horizontal="left" vertical="top" wrapText="1"/>
    </xf>
    <xf numFmtId="0" fontId="43" fillId="0" borderId="0" applyAlignment="1" pivotButton="0" quotePrefix="0" xfId="0">
      <alignment horizontal="left" vertical="top" wrapText="1"/>
    </xf>
    <xf numFmtId="0" fontId="43" fillId="0" borderId="13" applyAlignment="1" pivotButton="0" quotePrefix="0" xfId="4">
      <alignment horizontal="center" vertical="center" wrapText="1"/>
    </xf>
    <xf numFmtId="0" fontId="41" fillId="0" borderId="7" applyAlignment="1" pivotButton="0" quotePrefix="0" xfId="4">
      <alignment horizontal="center" vertical="center" wrapText="1"/>
    </xf>
    <xf numFmtId="0" fontId="43" fillId="0" borderId="3" applyAlignment="1" pivotButton="0" quotePrefix="0" xfId="0">
      <alignment horizontal="left" vertical="top" wrapText="1"/>
    </xf>
    <xf numFmtId="3" fontId="43" fillId="0" borderId="3" applyAlignment="1" pivotButton="0" quotePrefix="0" xfId="4">
      <alignment horizontal="right" vertical="top" wrapText="1"/>
    </xf>
    <xf numFmtId="0" fontId="43" fillId="0" borderId="4" applyAlignment="1" pivotButton="0" quotePrefix="0" xfId="4">
      <alignment horizontal="left" vertical="top" wrapText="1"/>
    </xf>
    <xf numFmtId="0" fontId="43" fillId="0" borderId="2" applyAlignment="1" pivotButton="0" quotePrefix="0" xfId="4">
      <alignment horizontal="left" vertical="top" wrapText="1"/>
    </xf>
    <xf numFmtId="0" fontId="43" fillId="0" borderId="5" applyAlignment="1" pivotButton="0" quotePrefix="0" xfId="4">
      <alignment horizontal="left" vertical="top" wrapText="1"/>
    </xf>
    <xf numFmtId="3" fontId="43" fillId="0" borderId="4" applyAlignment="1" pivotButton="0" quotePrefix="0" xfId="4">
      <alignment horizontal="left" vertical="top" wrapText="1"/>
    </xf>
    <xf numFmtId="3" fontId="43" fillId="0" borderId="2" applyAlignment="1" pivotButton="0" quotePrefix="0" xfId="4">
      <alignment horizontal="left" vertical="top" wrapText="1"/>
    </xf>
    <xf numFmtId="3" fontId="43" fillId="0" borderId="5" applyAlignment="1" pivotButton="0" quotePrefix="0" xfId="4">
      <alignment horizontal="left" vertical="top" wrapText="1"/>
    </xf>
    <xf numFmtId="0" fontId="0" fillId="0" borderId="2" pivotButton="0" quotePrefix="0" xfId="0"/>
    <xf numFmtId="0" fontId="0" fillId="0" borderId="5" pivotButton="0" quotePrefix="0" xfId="0"/>
    <xf numFmtId="0" fontId="0" fillId="0" borderId="8" pivotButton="0" quotePrefix="0" xfId="0"/>
    <xf numFmtId="0" fontId="0" fillId="0" borderId="11" pivotButton="0" quotePrefix="0" xfId="0"/>
    <xf numFmtId="0" fontId="0" fillId="0" borderId="12" pivotButton="0" quotePrefix="0" xfId="0"/>
    <xf numFmtId="4" fontId="32" fillId="0" borderId="3" applyAlignment="1" pivotButton="0" quotePrefix="0" xfId="0">
      <alignment horizontal="left" vertical="center" wrapText="1"/>
    </xf>
    <xf numFmtId="0" fontId="0" fillId="0" borderId="7" pivotButton="0" quotePrefix="0" xfId="0"/>
    <xf numFmtId="0" fontId="0" fillId="0" borderId="14" pivotButton="0" quotePrefix="0" xfId="0"/>
    <xf numFmtId="0" fontId="0" fillId="0" borderId="9" pivotButton="0" quotePrefix="0" xfId="0"/>
    <xf numFmtId="0" fontId="47" fillId="0" borderId="3" applyAlignment="1" pivotButton="0" quotePrefix="0" xfId="0">
      <alignment horizontal="left" vertical="top" wrapText="1"/>
    </xf>
    <xf numFmtId="0" fontId="34" fillId="0" borderId="3" applyAlignment="1" pivotButton="0" quotePrefix="0" xfId="0">
      <alignment horizontal="right" vertical="top" wrapText="1"/>
    </xf>
    <xf numFmtId="0" fontId="32" fillId="0" borderId="3" applyAlignment="1" pivotButton="0" quotePrefix="0" xfId="0">
      <alignment horizontal="right" vertical="top" wrapText="1"/>
    </xf>
    <xf numFmtId="49" fontId="32" fillId="0" borderId="3" applyAlignment="1" pivotButton="0" quotePrefix="0" xfId="1">
      <alignment vertical="center"/>
    </xf>
    <xf numFmtId="0" fontId="32" fillId="0" borderId="3" applyAlignment="1" pivotButton="0" quotePrefix="0" xfId="1">
      <alignment horizontal="center" vertical="center" wrapText="1"/>
    </xf>
    <xf numFmtId="0" fontId="0" fillId="0" borderId="1" pivotButton="0" quotePrefix="0" xfId="0"/>
    <xf numFmtId="4" fontId="43" fillId="0" borderId="3" applyAlignment="1" pivotButton="0" quotePrefix="0" xfId="0">
      <alignment horizontal="left" vertical="top"/>
    </xf>
    <xf numFmtId="4" fontId="41" fillId="0" borderId="3" applyAlignment="1" pivotButton="0" quotePrefix="0" xfId="0">
      <alignment horizontal="left" vertical="top"/>
    </xf>
    <xf numFmtId="3" fontId="43" fillId="0" borderId="10" applyAlignment="1" pivotButton="0" quotePrefix="0" xfId="0">
      <alignment horizontal="left" vertical="top"/>
    </xf>
    <xf numFmtId="0" fontId="42" fillId="4" borderId="4" applyAlignment="1" pivotButton="0" quotePrefix="0" xfId="0">
      <alignment horizontal="center" vertical="top" wrapText="1"/>
    </xf>
    <xf numFmtId="0" fontId="43" fillId="0" borderId="3" applyAlignment="1" pivotButton="0" quotePrefix="0" xfId="4">
      <alignment horizontal="left" vertical="top" wrapText="1"/>
    </xf>
  </cellXfs>
  <cellStyles count="6">
    <cellStyle name="Normal" xfId="0" builtinId="0"/>
    <cellStyle name="Normal 2" xfId="1"/>
    <cellStyle name="Normal 3" xfId="2"/>
    <cellStyle name="Percent 2" xfId="3"/>
    <cellStyle name="Normal 4" xfId="4"/>
    <cellStyle name="Percent" xfId="5" builtinId="5"/>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FF00B0F0"/>
    <outlinePr summaryBelow="1" summaryRight="1"/>
    <pageSetUpPr/>
  </sheetPr>
  <dimension ref="A1:E94"/>
  <sheetViews>
    <sheetView workbookViewId="0">
      <selection activeCell="F1" sqref="F1:I1048576"/>
    </sheetView>
  </sheetViews>
  <sheetFormatPr baseColWidth="8" defaultColWidth="9.109375" defaultRowHeight="13.8"/>
  <cols>
    <col width="59.109375" customWidth="1" style="175" min="1" max="1"/>
    <col width="12.88671875" customWidth="1" style="320" min="2" max="4"/>
    <col width="13.88671875" customWidth="1" style="55" min="5" max="5"/>
    <col width="9.109375" customWidth="1" style="370" min="6" max="16384"/>
  </cols>
  <sheetData>
    <row r="1" ht="14.4" customFormat="1" customHeight="1" s="41">
      <c r="A1" s="434" t="inlineStr">
        <is>
          <t>1A - Bilanțul</t>
        </is>
      </c>
      <c r="B1" s="39" t="n"/>
      <c r="C1" s="39" t="n"/>
      <c r="D1" s="39" t="n"/>
      <c r="E1" s="40" t="n"/>
    </row>
    <row r="2" customFormat="1" s="41">
      <c r="A2" s="42" t="n"/>
      <c r="B2" s="39" t="n"/>
      <c r="C2" s="39" t="n"/>
      <c r="D2" s="39" t="n"/>
      <c r="E2" s="40" t="n"/>
    </row>
    <row r="3" ht="43.5" customFormat="1" customHeight="1" s="41">
      <c r="A3" s="433" t="inlineStr">
        <is>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c r="E3" s="40" t="n"/>
    </row>
    <row r="4" customFormat="1" s="41">
      <c r="A4" s="295" t="n"/>
      <c r="B4" s="295" t="n"/>
      <c r="C4" s="295" t="n"/>
      <c r="D4" s="295" t="n"/>
      <c r="E4" s="40" t="n"/>
    </row>
    <row r="5">
      <c r="A5" s="373" t="n"/>
      <c r="B5" s="364" t="n">
        <v>2018</v>
      </c>
      <c r="C5" s="364" t="n">
        <v>2019</v>
      </c>
      <c r="D5" s="364" t="inlineStr">
        <is>
          <t>AN</t>
        </is>
      </c>
    </row>
    <row r="6" customFormat="1" s="90">
      <c r="A6" s="373" t="inlineStr">
        <is>
          <t>A.Active imobilizate</t>
        </is>
      </c>
      <c r="B6" s="177" t="n"/>
      <c r="C6" s="177" t="n"/>
      <c r="D6" s="177" t="n"/>
      <c r="E6" s="53" t="n"/>
    </row>
    <row r="7">
      <c r="A7" s="48" t="inlineStr">
        <is>
          <t>I.Imobilizari necorporale</t>
        </is>
      </c>
      <c r="B7" s="49" t="n"/>
      <c r="C7" s="49" t="n">
        <v>0</v>
      </c>
      <c r="D7" s="49" t="n"/>
    </row>
    <row r="8">
      <c r="A8" s="112" t="inlineStr">
        <is>
          <t>II.Imobilizari corporale</t>
        </is>
      </c>
      <c r="B8" s="112" t="n"/>
      <c r="C8" s="112" t="n"/>
      <c r="D8" s="112" t="n"/>
    </row>
    <row r="9">
      <c r="A9" s="48" t="inlineStr">
        <is>
          <t>1. Terenuri si constructii</t>
        </is>
      </c>
      <c r="B9" s="49">
        <f>404967-131729</f>
        <v/>
      </c>
      <c r="C9" s="49">
        <f>404967-199308</f>
        <v/>
      </c>
      <c r="D9" s="49" t="n">
        <v>0</v>
      </c>
    </row>
    <row r="10">
      <c r="A10" s="48" t="inlineStr">
        <is>
          <t>2. Instalatii tehnice si masini</t>
        </is>
      </c>
      <c r="B10" s="49">
        <f>422314-105359</f>
        <v/>
      </c>
      <c r="C10" s="49">
        <f>760388-219475</f>
        <v/>
      </c>
      <c r="D10" s="49" t="n"/>
    </row>
    <row r="11">
      <c r="A11" s="48" t="inlineStr">
        <is>
          <t>3. Alte instalatii, utilaje si mobilier</t>
        </is>
      </c>
      <c r="B11" s="49">
        <f>70367-33265</f>
        <v/>
      </c>
      <c r="C11" s="49">
        <f>70367-47856</f>
        <v/>
      </c>
      <c r="D11" s="49" t="n"/>
    </row>
    <row r="12">
      <c r="A12" s="48" t="inlineStr">
        <is>
          <t>4. Investiții imobiliare</t>
        </is>
      </c>
      <c r="B12" s="410" t="n">
        <v>0</v>
      </c>
      <c r="C12" s="410" t="n">
        <v>0</v>
      </c>
      <c r="D12" s="49" t="n">
        <v>0</v>
      </c>
    </row>
    <row r="13">
      <c r="A13" s="408" t="inlineStr">
        <is>
          <t>5. Imobilizări corporale în curs de execuție</t>
        </is>
      </c>
      <c r="B13" s="412" t="n">
        <v>9161</v>
      </c>
      <c r="C13" s="412" t="n">
        <v>9161</v>
      </c>
      <c r="D13" s="409" t="n">
        <v>0</v>
      </c>
    </row>
    <row r="14">
      <c r="A14" s="48" t="inlineStr">
        <is>
          <t>6. Investiții imobiliare în curs de execuție</t>
        </is>
      </c>
      <c r="B14" s="411" t="n">
        <v>0</v>
      </c>
      <c r="C14" s="411" t="n">
        <v>0</v>
      </c>
      <c r="D14" s="49" t="n">
        <v>0</v>
      </c>
    </row>
    <row r="15">
      <c r="A15" s="48" t="inlineStr">
        <is>
          <t>7. Avansuri acordate pentru imobilizări corporale</t>
        </is>
      </c>
      <c r="B15" s="49" t="n">
        <v>0</v>
      </c>
      <c r="C15" s="49" t="n">
        <v>0</v>
      </c>
      <c r="D15" s="49" t="n">
        <v>0</v>
      </c>
    </row>
    <row r="16">
      <c r="A16" s="48" t="inlineStr">
        <is>
          <t>Imobilizari corporale - total</t>
        </is>
      </c>
      <c r="B16" s="58">
        <f>SUM(B9:B15)</f>
        <v/>
      </c>
      <c r="C16" s="58">
        <f>SUM(C9:C15)</f>
        <v/>
      </c>
      <c r="D16" s="58">
        <f>SUM(D9:D15)</f>
        <v/>
      </c>
    </row>
    <row r="17">
      <c r="A17" s="48" t="inlineStr">
        <is>
          <t>III.Imobilizari financiare</t>
        </is>
      </c>
      <c r="B17" s="49" t="n">
        <v>0</v>
      </c>
      <c r="C17" s="49" t="n">
        <v>0</v>
      </c>
      <c r="D17" s="49" t="n">
        <v>0</v>
      </c>
    </row>
    <row r="18">
      <c r="A18" s="51" t="inlineStr">
        <is>
          <t>Active imobilizate - total</t>
        </is>
      </c>
      <c r="B18" s="290">
        <f>SUM(B7+B16+B17)</f>
        <v/>
      </c>
      <c r="C18" s="290">
        <f>SUM(C7+C16+C17)</f>
        <v/>
      </c>
      <c r="D18" s="290">
        <f>SUM(D7+D16+D17)</f>
        <v/>
      </c>
    </row>
    <row r="19" customFormat="1" s="90">
      <c r="A19" s="51" t="inlineStr">
        <is>
          <t>B.Active circulante</t>
        </is>
      </c>
      <c r="B19" s="172" t="n"/>
      <c r="C19" s="172" t="n"/>
      <c r="D19" s="172" t="n"/>
      <c r="E19" s="53" t="n"/>
    </row>
    <row r="20">
      <c r="A20" s="48" t="inlineStr">
        <is>
          <t>I.Stocuri:</t>
        </is>
      </c>
      <c r="B20" s="112" t="n"/>
      <c r="C20" s="112" t="n"/>
      <c r="D20" s="112" t="n"/>
    </row>
    <row r="21">
      <c r="A21" s="48" t="inlineStr">
        <is>
          <t>1. Materii prime si materiale consumabile</t>
        </is>
      </c>
      <c r="B21" s="49" t="n">
        <v>8072</v>
      </c>
      <c r="C21" s="49">
        <f>10527+6129</f>
        <v/>
      </c>
      <c r="D21" s="49" t="n"/>
    </row>
    <row r="22">
      <c r="A22" s="48" t="inlineStr">
        <is>
          <t>2. Productia in curs de executie</t>
        </is>
      </c>
      <c r="B22" s="49" t="n">
        <v>0</v>
      </c>
      <c r="C22" s="49" t="n">
        <v>0</v>
      </c>
      <c r="D22" s="49" t="n">
        <v>0</v>
      </c>
    </row>
    <row r="23">
      <c r="A23" s="48" t="inlineStr">
        <is>
          <t>3. Produse finite si marfuri</t>
        </is>
      </c>
      <c r="B23" s="49" t="n">
        <v>57827</v>
      </c>
      <c r="C23" s="49" t="n">
        <v>70518</v>
      </c>
      <c r="D23" s="49" t="n">
        <v>0</v>
      </c>
    </row>
    <row r="24">
      <c r="A24" s="48" t="inlineStr">
        <is>
          <t>4. Avansuri pentru cumparari stocuri</t>
        </is>
      </c>
      <c r="B24" s="49" t="n">
        <v>0</v>
      </c>
      <c r="C24" s="49" t="n">
        <v>0</v>
      </c>
      <c r="D24" s="49" t="n">
        <v>0</v>
      </c>
    </row>
    <row r="25" customFormat="1" s="90">
      <c r="A25" s="48" t="inlineStr">
        <is>
          <t>Stocuri - total</t>
        </is>
      </c>
      <c r="B25" s="419">
        <f>SUM(B21:B24)</f>
        <v/>
      </c>
      <c r="C25" s="419">
        <f>SUM(C21:C24)</f>
        <v/>
      </c>
      <c r="D25" s="58">
        <f>SUM(D21:D24)</f>
        <v/>
      </c>
      <c r="E25" s="53" t="n"/>
    </row>
    <row r="26">
      <c r="A26" s="408" t="inlineStr">
        <is>
          <t>II.Creante</t>
        </is>
      </c>
      <c r="B26" s="412" t="n">
        <v>137951</v>
      </c>
      <c r="C26" s="412" t="n">
        <v>150831</v>
      </c>
      <c r="D26" s="409" t="n"/>
    </row>
    <row r="27">
      <c r="A27" s="48" t="inlineStr">
        <is>
          <t>III.Investitii financiare pe termen scurt</t>
        </is>
      </c>
      <c r="B27" s="414" t="n">
        <v>0</v>
      </c>
      <c r="C27" s="414" t="n">
        <v>0</v>
      </c>
      <c r="D27" s="49" t="n">
        <v>0</v>
      </c>
    </row>
    <row r="28">
      <c r="A28" s="408" t="inlineStr">
        <is>
          <t>IV.Casa si conturi la banci</t>
        </is>
      </c>
      <c r="B28" s="412" t="n">
        <v>939911</v>
      </c>
      <c r="C28" s="412" t="n">
        <v>32762</v>
      </c>
      <c r="D28" s="409" t="n"/>
    </row>
    <row r="29" customFormat="1" s="90">
      <c r="A29" s="51" t="inlineStr">
        <is>
          <t>Active circulante - total</t>
        </is>
      </c>
      <c r="B29" s="415">
        <f>SUM(B26:B28)+B25</f>
        <v/>
      </c>
      <c r="C29" s="415">
        <f>SUM(C26:C28)+C25</f>
        <v/>
      </c>
      <c r="D29" s="290">
        <f>SUM(D26:D28)+D25</f>
        <v/>
      </c>
      <c r="E29" s="53" t="n"/>
    </row>
    <row r="30" customFormat="1" s="90">
      <c r="A30" s="51" t="inlineStr">
        <is>
          <t>C.Cheltuieli in avans</t>
        </is>
      </c>
      <c r="B30" s="263">
        <f>B31+B32</f>
        <v/>
      </c>
      <c r="C30" s="263">
        <f>C31+C32</f>
        <v/>
      </c>
      <c r="D30" s="263">
        <f>D31+D32</f>
        <v/>
      </c>
      <c r="E30" s="53" t="n"/>
    </row>
    <row r="31" customFormat="1" s="90">
      <c r="A31" s="48" t="inlineStr">
        <is>
          <t>1. Sume de reluat într-o perioadă de până la un an</t>
        </is>
      </c>
      <c r="B31" s="49" t="n"/>
      <c r="C31" s="49" t="n"/>
      <c r="D31" s="49" t="n"/>
      <c r="E31" s="53" t="n"/>
    </row>
    <row r="32" customFormat="1" s="90">
      <c r="A32" s="48" t="inlineStr">
        <is>
          <t>2. Sume de reluat într-o perioadă mai mare de un an</t>
        </is>
      </c>
      <c r="B32" s="49" t="n">
        <v>0</v>
      </c>
      <c r="C32" s="49" t="n">
        <v>0</v>
      </c>
      <c r="D32" s="49" t="n">
        <v>0</v>
      </c>
      <c r="E32" s="53" t="n"/>
    </row>
    <row r="33" customFormat="1" s="90">
      <c r="A33" s="172" t="inlineStr">
        <is>
          <t>D.Datorii: sumele care trebuie platite intr-o perioada de pana la un an</t>
        </is>
      </c>
      <c r="B33" s="172" t="n"/>
      <c r="C33" s="172" t="n"/>
      <c r="D33" s="172" t="n"/>
      <c r="E33" s="53" t="n"/>
    </row>
    <row r="34" ht="27.6" customFormat="1" customHeight="1" s="370">
      <c r="A34" s="48" t="inlineStr">
        <is>
          <t>1.  Împrumuturi din emisiunea de obligatiuni, prezentându-se separat împrumuturile din emisiunea de obligatiuni convertibile</t>
        </is>
      </c>
      <c r="B34" s="49" t="n">
        <v>0</v>
      </c>
      <c r="C34" s="49" t="n">
        <v>0</v>
      </c>
      <c r="D34" s="49" t="n">
        <v>0</v>
      </c>
      <c r="E34" s="55" t="n"/>
    </row>
    <row r="35" customFormat="1" s="370">
      <c r="A35" s="48" t="inlineStr">
        <is>
          <t>2. Sume datorate institutiilor de credit</t>
        </is>
      </c>
      <c r="B35" s="49" t="n">
        <v>738576</v>
      </c>
      <c r="C35" s="416" t="n">
        <v>548359</v>
      </c>
      <c r="D35" s="49" t="n">
        <v>0</v>
      </c>
      <c r="E35" s="55" t="n"/>
    </row>
    <row r="36" customFormat="1" s="370">
      <c r="A36" s="48" t="inlineStr">
        <is>
          <t>3. Avansuri încasate în contul comenzilor</t>
        </is>
      </c>
      <c r="B36" s="410" t="n">
        <v>0</v>
      </c>
      <c r="C36" s="410" t="n">
        <v>0</v>
      </c>
      <c r="D36" s="49" t="n">
        <v>0</v>
      </c>
      <c r="E36" s="55" t="n"/>
    </row>
    <row r="37" customFormat="1" s="370">
      <c r="A37" s="408" t="inlineStr">
        <is>
          <t>4. Datorii comerciale - furnizori</t>
        </is>
      </c>
      <c r="B37" s="412" t="n">
        <v>75256</v>
      </c>
      <c r="C37" s="412" t="n">
        <v>127965</v>
      </c>
      <c r="D37" s="409" t="n"/>
      <c r="E37" s="55" t="n"/>
    </row>
    <row r="38" customFormat="1" s="370">
      <c r="A38" s="48" t="inlineStr">
        <is>
          <t>5. Efecte de comert de platit</t>
        </is>
      </c>
      <c r="B38" s="411" t="n">
        <v>0</v>
      </c>
      <c r="C38" s="411" t="n">
        <v>0</v>
      </c>
      <c r="D38" s="49" t="n">
        <v>0</v>
      </c>
      <c r="E38" s="55" t="n"/>
    </row>
    <row r="39" customFormat="1" s="370">
      <c r="A39" s="48" t="inlineStr">
        <is>
          <t>6. Sume datorate entitatilor afiliate</t>
        </is>
      </c>
      <c r="B39" s="49" t="n">
        <v>0</v>
      </c>
      <c r="C39" s="49" t="n">
        <v>0</v>
      </c>
      <c r="D39" s="49" t="n">
        <v>0</v>
      </c>
      <c r="E39" s="55" t="n"/>
    </row>
    <row r="40" ht="27.6" customFormat="1" customHeight="1" s="370">
      <c r="A40" s="48" t="inlineStr">
        <is>
          <t>7. Sume datorate entitatilor de care compania este legata în virtutea intereselor de participare</t>
        </is>
      </c>
      <c r="B40" s="410" t="n">
        <v>0</v>
      </c>
      <c r="C40" s="410" t="n">
        <v>0</v>
      </c>
      <c r="D40" s="49" t="n">
        <v>0</v>
      </c>
      <c r="E40" s="55" t="n"/>
    </row>
    <row r="41" ht="27.6" customFormat="1" customHeight="1" s="370">
      <c r="A41" s="408" t="inlineStr">
        <is>
          <t>8. Alte datorii, inclusiv datoriile fiscale si datoriile privind asigurarile sociale</t>
        </is>
      </c>
      <c r="B41" s="412">
        <f>54806+77904</f>
        <v/>
      </c>
      <c r="C41" s="412">
        <f>45893+47249</f>
        <v/>
      </c>
      <c r="D41" s="409" t="n"/>
      <c r="E41" s="55" t="n"/>
    </row>
    <row r="42" customFormat="1" s="370">
      <c r="A42" s="51" t="inlineStr">
        <is>
          <t>Datorii: sumele care trebuie platite intr-o perioada de pana la un an</t>
        </is>
      </c>
      <c r="B42" s="415">
        <f>SUM(B34:B41)</f>
        <v/>
      </c>
      <c r="C42" s="415">
        <f>SUM(C34:C41)</f>
        <v/>
      </c>
      <c r="D42" s="290">
        <f>SUM(D34:D41)</f>
        <v/>
      </c>
      <c r="E42" s="55" t="n"/>
    </row>
    <row r="43" customFormat="1" s="90">
      <c r="A43" s="51" t="inlineStr">
        <is>
          <t>E.Active circulante nete/datorii curente nete</t>
        </is>
      </c>
      <c r="B43" s="290">
        <f>B29+B31-B42-B58-B61-B64</f>
        <v/>
      </c>
      <c r="C43" s="290">
        <f>C29+C31-C42-C58-C61-C64</f>
        <v/>
      </c>
      <c r="D43" s="290">
        <f>D29+D31-D42-D58-D61-D64</f>
        <v/>
      </c>
      <c r="E43" s="53" t="n"/>
    </row>
    <row r="44" customFormat="1" s="90">
      <c r="A44" s="51" t="inlineStr">
        <is>
          <t>F.Total active minus datorii curente</t>
        </is>
      </c>
      <c r="B44" s="57">
        <f>B18+B43+B32</f>
        <v/>
      </c>
      <c r="C44" s="57">
        <f>C18+C43+C32</f>
        <v/>
      </c>
      <c r="D44" s="57">
        <f>D18+D43+D32</f>
        <v/>
      </c>
    </row>
    <row r="45">
      <c r="A45" s="172" t="inlineStr">
        <is>
          <t>G.Datorii: sumele care trebuie platite intr-o perioada mai mare de un an</t>
        </is>
      </c>
      <c r="B45" s="172" t="n"/>
      <c r="C45" s="172" t="n"/>
      <c r="D45" s="172" t="n"/>
    </row>
    <row r="46" ht="27.6" customFormat="1" customHeight="1" s="370">
      <c r="A46" s="48" t="inlineStr">
        <is>
          <t>1. Împrumuturi din emisiunea de obligatiuni, prezentându-se separat împrumuturile din emisiunea de obligatiuni convertibile</t>
        </is>
      </c>
      <c r="B46" s="49" t="n">
        <v>0</v>
      </c>
      <c r="C46" s="49" t="n">
        <v>0</v>
      </c>
      <c r="D46" s="49" t="n">
        <v>0</v>
      </c>
      <c r="E46" s="55" t="n"/>
    </row>
    <row r="47" customFormat="1" s="370">
      <c r="A47" s="48" t="inlineStr">
        <is>
          <t>2. Sume datorate institutiilor de credit</t>
        </is>
      </c>
      <c r="B47" s="49" t="n">
        <v>0</v>
      </c>
      <c r="C47" s="49" t="n">
        <v>0</v>
      </c>
      <c r="D47" s="49" t="n">
        <v>0</v>
      </c>
      <c r="E47" s="55" t="n"/>
    </row>
    <row r="48" customFormat="1" s="370">
      <c r="A48" s="48" t="inlineStr">
        <is>
          <t>3. Avansuri încasate în contul comenzilor</t>
        </is>
      </c>
      <c r="B48" s="49" t="n">
        <v>0</v>
      </c>
      <c r="C48" s="49" t="n">
        <v>0</v>
      </c>
      <c r="D48" s="49" t="n">
        <v>0</v>
      </c>
      <c r="E48" s="55" t="n"/>
    </row>
    <row r="49" customFormat="1" s="370">
      <c r="A49" s="48" t="inlineStr">
        <is>
          <t>4. Datorii comerciale - furnizori</t>
        </is>
      </c>
      <c r="B49" s="416" t="n">
        <v>3177</v>
      </c>
      <c r="C49" s="49" t="n">
        <v>0</v>
      </c>
      <c r="D49" s="49" t="n">
        <v>0</v>
      </c>
      <c r="E49" s="55" t="n"/>
    </row>
    <row r="50" customFormat="1" s="370">
      <c r="A50" s="48" t="inlineStr">
        <is>
          <t xml:space="preserve">5. Efecte de comert de platit </t>
        </is>
      </c>
      <c r="B50" s="49" t="n">
        <v>0</v>
      </c>
      <c r="C50" s="49" t="n">
        <v>0</v>
      </c>
      <c r="D50" s="49" t="n">
        <v>0</v>
      </c>
      <c r="E50" s="55" t="n"/>
    </row>
    <row r="51" customFormat="1" s="370">
      <c r="A51" s="48" t="inlineStr">
        <is>
          <t xml:space="preserve">6. Sume datorate entitatilor afiliate </t>
        </is>
      </c>
      <c r="B51" s="49" t="n">
        <v>0</v>
      </c>
      <c r="C51" s="49" t="n">
        <v>0</v>
      </c>
      <c r="D51" s="49" t="n">
        <v>0</v>
      </c>
      <c r="E51" s="55" t="n"/>
    </row>
    <row r="52" ht="27.6" customFormat="1" customHeight="1" s="370">
      <c r="A52" s="48" t="inlineStr">
        <is>
          <t>7. Sume datorate entitatilor de care compania este legata în virtutea intereselor de participare</t>
        </is>
      </c>
      <c r="B52" s="49" t="n">
        <v>0</v>
      </c>
      <c r="C52" s="49" t="n">
        <v>0</v>
      </c>
      <c r="D52" s="49" t="n">
        <v>0</v>
      </c>
      <c r="E52" s="55" t="n"/>
    </row>
    <row r="53" ht="27.6" customFormat="1" customHeight="1" s="370">
      <c r="A53" s="48" t="inlineStr">
        <is>
          <t xml:space="preserve">8. Alte datorii, inclusiv datoriile fiscale si datoriile privind asigurarile sociale </t>
        </is>
      </c>
      <c r="B53" s="49" t="n">
        <v>0</v>
      </c>
      <c r="C53" s="416" t="n">
        <v>235428</v>
      </c>
      <c r="D53" s="49" t="n"/>
      <c r="E53" s="55" t="n"/>
    </row>
    <row r="54" customFormat="1" s="90">
      <c r="A54" s="51" t="inlineStr">
        <is>
          <t>Datorii ce trebuie platite intr-o perioada mai mare de un an - total</t>
        </is>
      </c>
      <c r="B54" s="290">
        <f>SUM(B46:B53)</f>
        <v/>
      </c>
      <c r="C54" s="290">
        <f>SUM(C46:C53)</f>
        <v/>
      </c>
      <c r="D54" s="290">
        <f>SUM(D46:D53)</f>
        <v/>
      </c>
      <c r="E54" s="53" t="n"/>
    </row>
    <row r="55" customFormat="1" s="90">
      <c r="A55" s="51" t="inlineStr">
        <is>
          <t>H.Provizioane</t>
        </is>
      </c>
      <c r="B55" s="49" t="n">
        <v>0</v>
      </c>
      <c r="C55" s="49" t="n">
        <v>0</v>
      </c>
      <c r="D55" s="49" t="n">
        <v>0</v>
      </c>
      <c r="E55" s="53" t="n"/>
    </row>
    <row r="56" customFormat="1" s="90">
      <c r="A56" s="51" t="inlineStr">
        <is>
          <t>I.Venituri in avans</t>
        </is>
      </c>
      <c r="B56" s="270">
        <f>B57+B60+B63+B66</f>
        <v/>
      </c>
      <c r="C56" s="270">
        <f>C57+C60+C63+C66</f>
        <v/>
      </c>
      <c r="D56" s="270">
        <f>D57+D60+D63+D66</f>
        <v/>
      </c>
      <c r="E56" s="53" t="n"/>
    </row>
    <row r="57" customFormat="1" s="90">
      <c r="A57" s="48" t="inlineStr">
        <is>
          <t xml:space="preserve">1. Subvenţii pentru investiţii </t>
        </is>
      </c>
      <c r="B57" s="417">
        <f>B58+B59</f>
        <v/>
      </c>
      <c r="C57" s="417">
        <f>C58+C59</f>
        <v/>
      </c>
      <c r="D57" s="270">
        <f>D58+D59</f>
        <v/>
      </c>
      <c r="E57" s="53" t="n"/>
    </row>
    <row r="58" customFormat="1" s="90">
      <c r="A58" s="408" t="inlineStr">
        <is>
          <t>Sume de reluat într-o perioadă de până la un an</t>
        </is>
      </c>
      <c r="B58" s="412" t="n">
        <v>-16833</v>
      </c>
      <c r="C58" s="412" t="n">
        <v>-24233</v>
      </c>
      <c r="D58" s="409" t="n">
        <v>0</v>
      </c>
      <c r="E58" s="53" t="n"/>
    </row>
    <row r="59" customFormat="1" s="90">
      <c r="A59" s="48" t="inlineStr">
        <is>
          <t>Sume de reluat într-o perioadă mai mare de un an</t>
        </is>
      </c>
      <c r="B59" s="411" t="n">
        <v>0</v>
      </c>
      <c r="C59" s="411" t="n">
        <v>0</v>
      </c>
      <c r="D59" s="49" t="n">
        <v>0</v>
      </c>
      <c r="E59" s="53" t="n"/>
    </row>
    <row r="60" customFormat="1" s="90">
      <c r="A60" s="48" t="inlineStr">
        <is>
          <t>2. Venituri înregistrate în avans</t>
        </is>
      </c>
      <c r="B60" s="270">
        <f>B61+B62</f>
        <v/>
      </c>
      <c r="C60" s="270">
        <f>C61+C62</f>
        <v/>
      </c>
      <c r="D60" s="270">
        <f>D61+D62</f>
        <v/>
      </c>
      <c r="E60" s="53" t="n"/>
    </row>
    <row r="61" customFormat="1" s="90">
      <c r="A61" s="48" t="inlineStr">
        <is>
          <t>Sume de reluat intr-o perioada de pana la un an</t>
        </is>
      </c>
      <c r="B61" s="49" t="n">
        <v>0</v>
      </c>
      <c r="C61" s="49" t="n">
        <v>0</v>
      </c>
      <c r="D61" s="49" t="n">
        <v>0</v>
      </c>
      <c r="E61" s="53" t="n"/>
    </row>
    <row r="62" customFormat="1" s="90">
      <c r="A62" s="48" t="inlineStr">
        <is>
          <t>Sume de reluat intr-o perioada mai mare de un an</t>
        </is>
      </c>
      <c r="B62" s="49" t="n">
        <v>0</v>
      </c>
      <c r="C62" s="49" t="n">
        <v>0</v>
      </c>
      <c r="D62" s="49" t="n">
        <v>0</v>
      </c>
      <c r="E62" s="53" t="n"/>
    </row>
    <row r="63" customFormat="1" s="90">
      <c r="A63" s="51" t="inlineStr">
        <is>
          <t xml:space="preserve">3. Venituri în avans aferente activelor primite prin transfer de la clienţi </t>
        </is>
      </c>
      <c r="B63" s="270">
        <f>B64+B65</f>
        <v/>
      </c>
      <c r="C63" s="270">
        <f>C64+C65</f>
        <v/>
      </c>
      <c r="D63" s="270">
        <f>D64+D65</f>
        <v/>
      </c>
      <c r="E63" s="53" t="n"/>
    </row>
    <row r="64" customFormat="1" s="90">
      <c r="A64" s="48" t="inlineStr">
        <is>
          <t>Sume de reluat într-o perioadă de până la un an</t>
        </is>
      </c>
      <c r="B64" s="49" t="n">
        <v>0</v>
      </c>
      <c r="C64" s="49" t="n">
        <v>0</v>
      </c>
      <c r="D64" s="49" t="n">
        <v>0</v>
      </c>
      <c r="E64" s="53" t="n"/>
    </row>
    <row r="65" customFormat="1" s="90">
      <c r="A65" s="48" t="inlineStr">
        <is>
          <t>Sume de reluat într-o perioadă mai mare de un an</t>
        </is>
      </c>
      <c r="B65" s="49" t="n">
        <v>0</v>
      </c>
      <c r="C65" s="49" t="n">
        <v>0</v>
      </c>
      <c r="D65" s="49" t="n">
        <v>0</v>
      </c>
      <c r="E65" s="53" t="n"/>
    </row>
    <row r="66" customFormat="1" s="90">
      <c r="A66" s="48" t="inlineStr">
        <is>
          <t>Fondul comercial negativ</t>
        </is>
      </c>
      <c r="B66" s="49" t="n">
        <v>0</v>
      </c>
      <c r="C66" s="49" t="n">
        <v>0</v>
      </c>
      <c r="D66" s="49" t="n">
        <v>0</v>
      </c>
      <c r="E66" s="53" t="n"/>
    </row>
    <row r="67" customFormat="1" s="90">
      <c r="A67" s="172" t="inlineStr">
        <is>
          <t>J.Capital si rezerve</t>
        </is>
      </c>
      <c r="B67" s="172" t="n"/>
      <c r="C67" s="172" t="n"/>
      <c r="D67" s="172" t="n"/>
      <c r="E67" s="53" t="n"/>
    </row>
    <row r="68">
      <c r="A68" s="48" t="inlineStr">
        <is>
          <t>I.Capital, din care</t>
        </is>
      </c>
      <c r="B68" s="419">
        <f>SUM(B69:B73)</f>
        <v/>
      </c>
      <c r="C68" s="419">
        <f>SUM(C69:C73)</f>
        <v/>
      </c>
      <c r="D68" s="58">
        <f>SUM(D69:D73)</f>
        <v/>
      </c>
    </row>
    <row r="69">
      <c r="A69" s="418" t="inlineStr">
        <is>
          <t xml:space="preserve">    Capital subscris vărsat</t>
        </is>
      </c>
      <c r="B69" s="412" t="n">
        <v>200</v>
      </c>
      <c r="C69" s="412" t="n">
        <v>200</v>
      </c>
      <c r="D69" s="409" t="n"/>
    </row>
    <row r="70">
      <c r="A70" s="59" t="inlineStr">
        <is>
          <t xml:space="preserve">    Capital subscris nevărsat</t>
        </is>
      </c>
      <c r="B70" s="411" t="n">
        <v>0</v>
      </c>
      <c r="C70" s="411" t="n">
        <v>0</v>
      </c>
      <c r="D70" s="49" t="n">
        <v>0</v>
      </c>
    </row>
    <row r="71">
      <c r="A71" s="59" t="inlineStr">
        <is>
          <t xml:space="preserve">    Patrimoniu regiei</t>
        </is>
      </c>
      <c r="B71" s="49" t="n">
        <v>0</v>
      </c>
      <c r="C71" s="49" t="n">
        <v>0</v>
      </c>
      <c r="D71" s="49" t="n">
        <v>0</v>
      </c>
    </row>
    <row r="72">
      <c r="A72" s="59" t="inlineStr">
        <is>
          <t xml:space="preserve">    Patrimoniul institutelor naționale de cercetare-dezvoltare</t>
        </is>
      </c>
      <c r="B72" s="49" t="n">
        <v>0</v>
      </c>
      <c r="C72" s="49" t="n">
        <v>0</v>
      </c>
      <c r="D72" s="49" t="n">
        <v>0</v>
      </c>
    </row>
    <row r="73">
      <c r="A73" s="59" t="inlineStr">
        <is>
          <t xml:space="preserve">    Alte elemente de capitaluri proprii</t>
        </is>
      </c>
      <c r="B73" s="49" t="n">
        <v>0</v>
      </c>
      <c r="C73" s="49" t="n">
        <v>0</v>
      </c>
      <c r="D73" s="49" t="n">
        <v>0</v>
      </c>
    </row>
    <row r="74">
      <c r="A74" s="48" t="inlineStr">
        <is>
          <t>II.Prime de capital</t>
        </is>
      </c>
      <c r="B74" s="49" t="n">
        <v>0</v>
      </c>
      <c r="C74" s="49" t="n">
        <v>0</v>
      </c>
      <c r="D74" s="49" t="n">
        <v>0</v>
      </c>
    </row>
    <row r="75">
      <c r="A75" s="48" t="inlineStr">
        <is>
          <t>III.Rezerve din reevaluare</t>
        </is>
      </c>
      <c r="B75" s="58">
        <f>B76-B77</f>
        <v/>
      </c>
      <c r="C75" s="58">
        <f>C76-C77</f>
        <v/>
      </c>
      <c r="D75" s="58">
        <f>D76-D77</f>
        <v/>
      </c>
    </row>
    <row r="76">
      <c r="A76" s="48" t="inlineStr">
        <is>
          <t>Sold Creditor</t>
        </is>
      </c>
      <c r="B76" s="49" t="n">
        <v>0</v>
      </c>
      <c r="C76" s="49" t="n">
        <v>0</v>
      </c>
      <c r="D76" s="49" t="n">
        <v>0</v>
      </c>
    </row>
    <row r="77">
      <c r="A77" s="48" t="inlineStr">
        <is>
          <t>Sold Debitor</t>
        </is>
      </c>
      <c r="B77" s="410" t="n">
        <v>0</v>
      </c>
      <c r="C77" s="410" t="n">
        <v>0</v>
      </c>
      <c r="D77" s="49" t="n">
        <v>0</v>
      </c>
    </row>
    <row r="78">
      <c r="A78" s="408" t="inlineStr">
        <is>
          <t>IV.Rezerve</t>
        </is>
      </c>
      <c r="B78" s="412" t="n">
        <v>40</v>
      </c>
      <c r="C78" s="412" t="n">
        <v>40</v>
      </c>
      <c r="D78" s="409" t="n"/>
    </row>
    <row r="79">
      <c r="A79" s="48" t="inlineStr">
        <is>
          <t>Acţiuni proprii</t>
        </is>
      </c>
      <c r="B79" s="411" t="n">
        <v>0</v>
      </c>
      <c r="C79" s="411" t="n">
        <v>0</v>
      </c>
      <c r="D79" s="49" t="n">
        <v>0</v>
      </c>
    </row>
    <row r="80">
      <c r="A80" s="48" t="inlineStr">
        <is>
          <t>Câştiguri legate de instrumentele de capitaluri proprii</t>
        </is>
      </c>
      <c r="B80" s="49" t="n">
        <v>0</v>
      </c>
      <c r="C80" s="49" t="n">
        <v>0</v>
      </c>
      <c r="D80" s="49" t="n">
        <v>0</v>
      </c>
    </row>
    <row r="81">
      <c r="A81" s="48" t="inlineStr">
        <is>
          <t>Pierderi legate de instrumentele de capitaluri proprii</t>
        </is>
      </c>
      <c r="B81" s="49" t="n">
        <v>0</v>
      </c>
      <c r="C81" s="49" t="n">
        <v>0</v>
      </c>
      <c r="D81" s="49" t="n">
        <v>0</v>
      </c>
    </row>
    <row r="82" ht="14.4" customHeight="1" s="350" thickBot="1">
      <c r="A82" s="51" t="inlineStr">
        <is>
          <t>V.Rezultatul reportat</t>
        </is>
      </c>
      <c r="B82" s="58">
        <f>B83-B84</f>
        <v/>
      </c>
      <c r="C82" s="58">
        <f>C83-C84</f>
        <v/>
      </c>
      <c r="D82" s="58">
        <f>D83-D84</f>
        <v/>
      </c>
    </row>
    <row r="83" ht="15" customHeight="1" s="350" thickBot="1">
      <c r="A83" s="48" t="inlineStr">
        <is>
          <t>Sold Creditor</t>
        </is>
      </c>
      <c r="B83" s="407" t="n">
        <v>355760</v>
      </c>
      <c r="C83" s="420" t="n">
        <v>0</v>
      </c>
      <c r="D83" s="49" t="n"/>
    </row>
    <row r="84">
      <c r="A84" s="48" t="inlineStr">
        <is>
          <t>Sold Debitor</t>
        </is>
      </c>
      <c r="B84" s="49" t="n">
        <v>0</v>
      </c>
      <c r="C84" s="49" t="n"/>
      <c r="D84" s="49" t="n">
        <v>0</v>
      </c>
    </row>
    <row r="85">
      <c r="A85" s="51" t="inlineStr">
        <is>
          <t>VI.Rezultatul exercitiului financiar</t>
        </is>
      </c>
      <c r="B85" s="419">
        <f>B86-B87</f>
        <v/>
      </c>
      <c r="C85" s="419">
        <f>C86-C87</f>
        <v/>
      </c>
      <c r="D85" s="58">
        <f>D86-D87</f>
        <v/>
      </c>
    </row>
    <row r="86">
      <c r="A86" s="408" t="inlineStr">
        <is>
          <t>Sold Creditor</t>
        </is>
      </c>
      <c r="B86" s="412" t="n">
        <v>491331</v>
      </c>
      <c r="C86" s="412" t="n">
        <v>68110</v>
      </c>
      <c r="D86" s="409" t="n"/>
    </row>
    <row r="87">
      <c r="A87" s="48" t="inlineStr">
        <is>
          <t>Sold Debitor</t>
        </is>
      </c>
      <c r="B87" s="411" t="n"/>
      <c r="C87" s="411" t="n">
        <v>0</v>
      </c>
      <c r="D87" s="49" t="n">
        <v>0</v>
      </c>
    </row>
    <row r="88">
      <c r="A88" s="48" t="inlineStr">
        <is>
          <t>Repartizarea profitului</t>
        </is>
      </c>
      <c r="B88" s="49" t="n">
        <v>0</v>
      </c>
      <c r="C88" s="49" t="n"/>
      <c r="D88" s="49" t="n"/>
    </row>
    <row r="89">
      <c r="A89" s="51" t="inlineStr">
        <is>
          <t>Capitaluri proprii - total</t>
        </is>
      </c>
      <c r="B89" s="290">
        <f>B68+B74+B75+B78-B79+B80-B81+B83-B84+B86-B87-B88</f>
        <v/>
      </c>
      <c r="C89" s="290">
        <f>C68+C74+C75+C78-C79+C80-C81+C83-C84+C86-C87-C88</f>
        <v/>
      </c>
      <c r="D89" s="290">
        <f>D68+D74+D75+D78-D79+D80-D81+D83-D84+D86-D87-D88</f>
        <v/>
      </c>
    </row>
    <row r="90">
      <c r="A90" s="51" t="inlineStr">
        <is>
          <t>Patrimoniul public</t>
        </is>
      </c>
      <c r="B90" s="60" t="n">
        <v>0</v>
      </c>
      <c r="C90" s="60" t="n">
        <v>0</v>
      </c>
      <c r="D90" s="60" t="n">
        <v>0</v>
      </c>
    </row>
    <row r="91">
      <c r="A91" s="51" t="inlineStr">
        <is>
          <t>Patrimoniul privat</t>
        </is>
      </c>
      <c r="B91" s="60" t="n">
        <v>0</v>
      </c>
      <c r="C91" s="60" t="n">
        <v>0</v>
      </c>
      <c r="D91" s="60" t="n">
        <v>0</v>
      </c>
    </row>
    <row r="92">
      <c r="A92" s="51" t="inlineStr">
        <is>
          <t>Capitaluri - total</t>
        </is>
      </c>
      <c r="B92" s="290">
        <f>B18+B29+B30-B42-B54-B55-B56</f>
        <v/>
      </c>
      <c r="C92" s="290">
        <f>C18+C29+C30-C42-C54-C55-C56</f>
        <v/>
      </c>
      <c r="D92" s="290">
        <f>D18+D29+D30-D42-D54-D55-D56</f>
        <v/>
      </c>
    </row>
    <row r="93" customFormat="1" s="90">
      <c r="A93" s="51" t="inlineStr">
        <is>
          <t>TOTAL ACTIV</t>
        </is>
      </c>
      <c r="B93" s="290">
        <f>B18+B29+B30</f>
        <v/>
      </c>
      <c r="C93" s="290">
        <f>C18+C29+C30</f>
        <v/>
      </c>
      <c r="D93" s="290">
        <f>D18+D29+D30</f>
        <v/>
      </c>
      <c r="E93" s="53" t="n"/>
    </row>
    <row r="94" customFormat="1" s="90">
      <c r="A94" s="51" t="inlineStr">
        <is>
          <t>TOTAL CAPITALURI SI DATORII</t>
        </is>
      </c>
      <c r="B94" s="290">
        <f>B42+B54+B55+B56+B89</f>
        <v/>
      </c>
      <c r="C94" s="290">
        <f>C42+C54+C55+C56+C89</f>
        <v/>
      </c>
      <c r="D94" s="290">
        <f>D42+D54+D55+D56+D89</f>
        <v/>
      </c>
      <c r="E94" s="53" t="n"/>
    </row>
  </sheetData>
  <mergeCells count="1">
    <mergeCell ref="A3:D3"/>
  </mergeCells>
  <pageMargins left="0.7" right="0.7" top="0.75" bottom="0.75" header="0.3" footer="0.3"/>
  <pageSetup orientation="portrait" paperSize="9" fitToHeight="0" blackAndWhite="1"/>
</worksheet>
</file>

<file path=xl/worksheets/sheet10.xml><?xml version="1.0" encoding="utf-8"?>
<worksheet xmlns="http://schemas.openxmlformats.org/spreadsheetml/2006/main">
  <sheetPr>
    <outlinePr summaryBelow="1" summaryRight="1"/>
    <pageSetUpPr/>
  </sheetPr>
  <dimension ref="A2:B3"/>
  <sheetViews>
    <sheetView workbookViewId="0">
      <selection activeCell="A1" sqref="A1"/>
    </sheetView>
  </sheetViews>
  <sheetFormatPr baseColWidth="8" defaultColWidth="9.109375" defaultRowHeight="13.8"/>
  <cols>
    <col width="22.5546875" customWidth="1" style="384" min="1" max="1"/>
    <col width="9.109375" customWidth="1" style="384" min="2" max="16384"/>
  </cols>
  <sheetData>
    <row r="2">
      <c r="A2" s="570" t="inlineStr">
        <is>
          <t>TVA eligibil</t>
        </is>
      </c>
      <c r="B2" s="383" t="inlineStr">
        <is>
          <t>NU</t>
        </is>
      </c>
    </row>
    <row r="3">
      <c r="A3" s="559" t="n"/>
      <c r="B3" s="383" t="inlineStr">
        <is>
          <t>DA</t>
        </is>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sheetPr>
    <tabColor rgb="FF00B050"/>
    <outlinePr summaryBelow="1" summaryRight="1"/>
    <pageSetUpPr/>
  </sheetPr>
  <dimension ref="A1:N134"/>
  <sheetViews>
    <sheetView topLeftCell="A127" workbookViewId="0">
      <selection activeCell="A105" sqref="A105:F105"/>
    </sheetView>
  </sheetViews>
  <sheetFormatPr baseColWidth="8" defaultColWidth="9.109375" defaultRowHeight="14.4"/>
  <cols>
    <col width="6.109375" customWidth="1" style="37" min="1" max="1"/>
    <col width="45.88671875" customWidth="1" style="368" min="2" max="2"/>
    <col width="11.5546875" customWidth="1" style="362" min="3" max="3"/>
    <col width="10.109375" customWidth="1" style="362" min="4" max="12"/>
    <col width="9.109375" customWidth="1" style="20" min="13" max="222"/>
    <col width="6.109375" customWidth="1" style="20" min="223" max="223"/>
    <col width="79.5546875" customWidth="1" style="20" min="224" max="224"/>
    <col width="14.6640625" customWidth="1" style="20" min="225" max="228"/>
    <col width="9.109375" customWidth="1" style="20" min="229" max="478"/>
    <col width="6.109375" customWidth="1" style="20" min="479" max="479"/>
    <col width="79.5546875" customWidth="1" style="20" min="480" max="480"/>
    <col width="14.6640625" customWidth="1" style="20" min="481" max="484"/>
    <col width="9.109375" customWidth="1" style="20" min="485" max="734"/>
    <col width="6.109375" customWidth="1" style="20" min="735" max="735"/>
    <col width="79.5546875" customWidth="1" style="20" min="736" max="736"/>
    <col width="14.6640625" customWidth="1" style="20" min="737" max="740"/>
    <col width="9.109375" customWidth="1" style="20" min="741" max="990"/>
    <col width="6.109375" customWidth="1" style="20" min="991" max="991"/>
    <col width="79.5546875" customWidth="1" style="20" min="992" max="992"/>
    <col width="14.6640625" customWidth="1" style="20" min="993" max="996"/>
    <col width="9.109375" customWidth="1" style="20" min="997" max="1246"/>
    <col width="6.109375" customWidth="1" style="20" min="1247" max="1247"/>
    <col width="79.5546875" customWidth="1" style="20" min="1248" max="1248"/>
    <col width="14.6640625" customWidth="1" style="20" min="1249" max="1252"/>
    <col width="9.109375" customWidth="1" style="20" min="1253" max="1502"/>
    <col width="6.109375" customWidth="1" style="20" min="1503" max="1503"/>
    <col width="79.5546875" customWidth="1" style="20" min="1504" max="1504"/>
    <col width="14.6640625" customWidth="1" style="20" min="1505" max="1508"/>
    <col width="9.109375" customWidth="1" style="20" min="1509" max="1758"/>
    <col width="6.109375" customWidth="1" style="20" min="1759" max="1759"/>
    <col width="79.5546875" customWidth="1" style="20" min="1760" max="1760"/>
    <col width="14.6640625" customWidth="1" style="20" min="1761" max="1764"/>
    <col width="9.109375" customWidth="1" style="20" min="1765" max="2014"/>
    <col width="6.109375" customWidth="1" style="20" min="2015" max="2015"/>
    <col width="79.5546875" customWidth="1" style="20" min="2016" max="2016"/>
    <col width="14.6640625" customWidth="1" style="20" min="2017" max="2020"/>
    <col width="9.109375" customWidth="1" style="20" min="2021" max="2270"/>
    <col width="6.109375" customWidth="1" style="20" min="2271" max="2271"/>
    <col width="79.5546875" customWidth="1" style="20" min="2272" max="2272"/>
    <col width="14.6640625" customWidth="1" style="20" min="2273" max="2276"/>
    <col width="9.109375" customWidth="1" style="20" min="2277" max="2526"/>
    <col width="6.109375" customWidth="1" style="20" min="2527" max="2527"/>
    <col width="79.5546875" customWidth="1" style="20" min="2528" max="2528"/>
    <col width="14.6640625" customWidth="1" style="20" min="2529" max="2532"/>
    <col width="9.109375" customWidth="1" style="20" min="2533" max="2782"/>
    <col width="6.109375" customWidth="1" style="20" min="2783" max="2783"/>
    <col width="79.5546875" customWidth="1" style="20" min="2784" max="2784"/>
    <col width="14.6640625" customWidth="1" style="20" min="2785" max="2788"/>
    <col width="9.109375" customWidth="1" style="20" min="2789" max="3038"/>
    <col width="6.109375" customWidth="1" style="20" min="3039" max="3039"/>
    <col width="79.5546875" customWidth="1" style="20" min="3040" max="3040"/>
    <col width="14.6640625" customWidth="1" style="20" min="3041" max="3044"/>
    <col width="9.109375" customWidth="1" style="20" min="3045" max="3294"/>
    <col width="6.109375" customWidth="1" style="20" min="3295" max="3295"/>
    <col width="79.5546875" customWidth="1" style="20" min="3296" max="3296"/>
    <col width="14.6640625" customWidth="1" style="20" min="3297" max="3300"/>
    <col width="9.109375" customWidth="1" style="20" min="3301" max="3550"/>
    <col width="6.109375" customWidth="1" style="20" min="3551" max="3551"/>
    <col width="79.5546875" customWidth="1" style="20" min="3552" max="3552"/>
    <col width="14.6640625" customWidth="1" style="20" min="3553" max="3556"/>
    <col width="9.109375" customWidth="1" style="20" min="3557" max="3806"/>
    <col width="6.109375" customWidth="1" style="20" min="3807" max="3807"/>
    <col width="79.5546875" customWidth="1" style="20" min="3808" max="3808"/>
    <col width="14.6640625" customWidth="1" style="20" min="3809" max="3812"/>
    <col width="9.109375" customWidth="1" style="20" min="3813" max="4062"/>
    <col width="6.109375" customWidth="1" style="20" min="4063" max="4063"/>
    <col width="79.5546875" customWidth="1" style="20" min="4064" max="4064"/>
    <col width="14.6640625" customWidth="1" style="20" min="4065" max="4068"/>
    <col width="9.109375" customWidth="1" style="20" min="4069" max="4318"/>
    <col width="6.109375" customWidth="1" style="20" min="4319" max="4319"/>
    <col width="79.5546875" customWidth="1" style="20" min="4320" max="4320"/>
    <col width="14.6640625" customWidth="1" style="20" min="4321" max="4324"/>
    <col width="9.109375" customWidth="1" style="20" min="4325" max="4574"/>
    <col width="6.109375" customWidth="1" style="20" min="4575" max="4575"/>
    <col width="79.5546875" customWidth="1" style="20" min="4576" max="4576"/>
    <col width="14.6640625" customWidth="1" style="20" min="4577" max="4580"/>
    <col width="9.109375" customWidth="1" style="20" min="4581" max="4830"/>
    <col width="6.109375" customWidth="1" style="20" min="4831" max="4831"/>
    <col width="79.5546875" customWidth="1" style="20" min="4832" max="4832"/>
    <col width="14.6640625" customWidth="1" style="20" min="4833" max="4836"/>
    <col width="9.109375" customWidth="1" style="20" min="4837" max="5086"/>
    <col width="6.109375" customWidth="1" style="20" min="5087" max="5087"/>
    <col width="79.5546875" customWidth="1" style="20" min="5088" max="5088"/>
    <col width="14.6640625" customWidth="1" style="20" min="5089" max="5092"/>
    <col width="9.109375" customWidth="1" style="20" min="5093" max="5342"/>
    <col width="6.109375" customWidth="1" style="20" min="5343" max="5343"/>
    <col width="79.5546875" customWidth="1" style="20" min="5344" max="5344"/>
    <col width="14.6640625" customWidth="1" style="20" min="5345" max="5348"/>
    <col width="9.109375" customWidth="1" style="20" min="5349" max="5598"/>
    <col width="6.109375" customWidth="1" style="20" min="5599" max="5599"/>
    <col width="79.5546875" customWidth="1" style="20" min="5600" max="5600"/>
    <col width="14.6640625" customWidth="1" style="20" min="5601" max="5604"/>
    <col width="9.109375" customWidth="1" style="20" min="5605" max="5854"/>
    <col width="6.109375" customWidth="1" style="20" min="5855" max="5855"/>
    <col width="79.5546875" customWidth="1" style="20" min="5856" max="5856"/>
    <col width="14.6640625" customWidth="1" style="20" min="5857" max="5860"/>
    <col width="9.109375" customWidth="1" style="20" min="5861" max="6110"/>
    <col width="6.109375" customWidth="1" style="20" min="6111" max="6111"/>
    <col width="79.5546875" customWidth="1" style="20" min="6112" max="6112"/>
    <col width="14.6640625" customWidth="1" style="20" min="6113" max="6116"/>
    <col width="9.109375" customWidth="1" style="20" min="6117" max="6366"/>
    <col width="6.109375" customWidth="1" style="20" min="6367" max="6367"/>
    <col width="79.5546875" customWidth="1" style="20" min="6368" max="6368"/>
    <col width="14.6640625" customWidth="1" style="20" min="6369" max="6372"/>
    <col width="9.109375" customWidth="1" style="20" min="6373" max="6622"/>
    <col width="6.109375" customWidth="1" style="20" min="6623" max="6623"/>
    <col width="79.5546875" customWidth="1" style="20" min="6624" max="6624"/>
    <col width="14.6640625" customWidth="1" style="20" min="6625" max="6628"/>
    <col width="9.109375" customWidth="1" style="20" min="6629" max="6878"/>
    <col width="6.109375" customWidth="1" style="20" min="6879" max="6879"/>
    <col width="79.5546875" customWidth="1" style="20" min="6880" max="6880"/>
    <col width="14.6640625" customWidth="1" style="20" min="6881" max="6884"/>
    <col width="9.109375" customWidth="1" style="20" min="6885" max="7134"/>
    <col width="6.109375" customWidth="1" style="20" min="7135" max="7135"/>
    <col width="79.5546875" customWidth="1" style="20" min="7136" max="7136"/>
    <col width="14.6640625" customWidth="1" style="20" min="7137" max="7140"/>
    <col width="9.109375" customWidth="1" style="20" min="7141" max="7390"/>
    <col width="6.109375" customWidth="1" style="20" min="7391" max="7391"/>
    <col width="79.5546875" customWidth="1" style="20" min="7392" max="7392"/>
    <col width="14.6640625" customWidth="1" style="20" min="7393" max="7396"/>
    <col width="9.109375" customWidth="1" style="20" min="7397" max="7646"/>
    <col width="6.109375" customWidth="1" style="20" min="7647" max="7647"/>
    <col width="79.5546875" customWidth="1" style="20" min="7648" max="7648"/>
    <col width="14.6640625" customWidth="1" style="20" min="7649" max="7652"/>
    <col width="9.109375" customWidth="1" style="20" min="7653" max="7902"/>
    <col width="6.109375" customWidth="1" style="20" min="7903" max="7903"/>
    <col width="79.5546875" customWidth="1" style="20" min="7904" max="7904"/>
    <col width="14.6640625" customWidth="1" style="20" min="7905" max="7908"/>
    <col width="9.109375" customWidth="1" style="20" min="7909" max="8158"/>
    <col width="6.109375" customWidth="1" style="20" min="8159" max="8159"/>
    <col width="79.5546875" customWidth="1" style="20" min="8160" max="8160"/>
    <col width="14.6640625" customWidth="1" style="20" min="8161" max="8164"/>
    <col width="9.109375" customWidth="1" style="20" min="8165" max="8414"/>
    <col width="6.109375" customWidth="1" style="20" min="8415" max="8415"/>
    <col width="79.5546875" customWidth="1" style="20" min="8416" max="8416"/>
    <col width="14.6640625" customWidth="1" style="20" min="8417" max="8420"/>
    <col width="9.109375" customWidth="1" style="20" min="8421" max="8670"/>
    <col width="6.109375" customWidth="1" style="20" min="8671" max="8671"/>
    <col width="79.5546875" customWidth="1" style="20" min="8672" max="8672"/>
    <col width="14.6640625" customWidth="1" style="20" min="8673" max="8676"/>
    <col width="9.109375" customWidth="1" style="20" min="8677" max="8926"/>
    <col width="6.109375" customWidth="1" style="20" min="8927" max="8927"/>
    <col width="79.5546875" customWidth="1" style="20" min="8928" max="8928"/>
    <col width="14.6640625" customWidth="1" style="20" min="8929" max="8932"/>
    <col width="9.109375" customWidth="1" style="20" min="8933" max="9182"/>
    <col width="6.109375" customWidth="1" style="20" min="9183" max="9183"/>
    <col width="79.5546875" customWidth="1" style="20" min="9184" max="9184"/>
    <col width="14.6640625" customWidth="1" style="20" min="9185" max="9188"/>
    <col width="9.109375" customWidth="1" style="20" min="9189" max="9438"/>
    <col width="6.109375" customWidth="1" style="20" min="9439" max="9439"/>
    <col width="79.5546875" customWidth="1" style="20" min="9440" max="9440"/>
    <col width="14.6640625" customWidth="1" style="20" min="9441" max="9444"/>
    <col width="9.109375" customWidth="1" style="20" min="9445" max="9694"/>
    <col width="6.109375" customWidth="1" style="20" min="9695" max="9695"/>
    <col width="79.5546875" customWidth="1" style="20" min="9696" max="9696"/>
    <col width="14.6640625" customWidth="1" style="20" min="9697" max="9700"/>
    <col width="9.109375" customWidth="1" style="20" min="9701" max="9950"/>
    <col width="6.109375" customWidth="1" style="20" min="9951" max="9951"/>
    <col width="79.5546875" customWidth="1" style="20" min="9952" max="9952"/>
    <col width="14.6640625" customWidth="1" style="20" min="9953" max="9956"/>
    <col width="9.109375" customWidth="1" style="20" min="9957" max="10206"/>
    <col width="6.109375" customWidth="1" style="20" min="10207" max="10207"/>
    <col width="79.5546875" customWidth="1" style="20" min="10208" max="10208"/>
    <col width="14.6640625" customWidth="1" style="20" min="10209" max="10212"/>
    <col width="9.109375" customWidth="1" style="20" min="10213" max="10462"/>
    <col width="6.109375" customWidth="1" style="20" min="10463" max="10463"/>
    <col width="79.5546875" customWidth="1" style="20" min="10464" max="10464"/>
    <col width="14.6640625" customWidth="1" style="20" min="10465" max="10468"/>
    <col width="9.109375" customWidth="1" style="20" min="10469" max="10718"/>
    <col width="6.109375" customWidth="1" style="20" min="10719" max="10719"/>
    <col width="79.5546875" customWidth="1" style="20" min="10720" max="10720"/>
    <col width="14.6640625" customWidth="1" style="20" min="10721" max="10724"/>
    <col width="9.109375" customWidth="1" style="20" min="10725" max="10974"/>
    <col width="6.109375" customWidth="1" style="20" min="10975" max="10975"/>
    <col width="79.5546875" customWidth="1" style="20" min="10976" max="10976"/>
    <col width="14.6640625" customWidth="1" style="20" min="10977" max="10980"/>
    <col width="9.109375" customWidth="1" style="20" min="10981" max="11230"/>
    <col width="6.109375" customWidth="1" style="20" min="11231" max="11231"/>
    <col width="79.5546875" customWidth="1" style="20" min="11232" max="11232"/>
    <col width="14.6640625" customWidth="1" style="20" min="11233" max="11236"/>
    <col width="9.109375" customWidth="1" style="20" min="11237" max="11486"/>
    <col width="6.109375" customWidth="1" style="20" min="11487" max="11487"/>
    <col width="79.5546875" customWidth="1" style="20" min="11488" max="11488"/>
    <col width="14.6640625" customWidth="1" style="20" min="11489" max="11492"/>
    <col width="9.109375" customWidth="1" style="20" min="11493" max="11742"/>
    <col width="6.109375" customWidth="1" style="20" min="11743" max="11743"/>
    <col width="79.5546875" customWidth="1" style="20" min="11744" max="11744"/>
    <col width="14.6640625" customWidth="1" style="20" min="11745" max="11748"/>
    <col width="9.109375" customWidth="1" style="20" min="11749" max="11998"/>
    <col width="6.109375" customWidth="1" style="20" min="11999" max="11999"/>
    <col width="79.5546875" customWidth="1" style="20" min="12000" max="12000"/>
    <col width="14.6640625" customWidth="1" style="20" min="12001" max="12004"/>
    <col width="9.109375" customWidth="1" style="20" min="12005" max="12254"/>
    <col width="6.109375" customWidth="1" style="20" min="12255" max="12255"/>
    <col width="79.5546875" customWidth="1" style="20" min="12256" max="12256"/>
    <col width="14.6640625" customWidth="1" style="20" min="12257" max="12260"/>
    <col width="9.109375" customWidth="1" style="20" min="12261" max="12510"/>
    <col width="6.109375" customWidth="1" style="20" min="12511" max="12511"/>
    <col width="79.5546875" customWidth="1" style="20" min="12512" max="12512"/>
    <col width="14.6640625" customWidth="1" style="20" min="12513" max="12516"/>
    <col width="9.109375" customWidth="1" style="20" min="12517" max="12766"/>
    <col width="6.109375" customWidth="1" style="20" min="12767" max="12767"/>
    <col width="79.5546875" customWidth="1" style="20" min="12768" max="12768"/>
    <col width="14.6640625" customWidth="1" style="20" min="12769" max="12772"/>
    <col width="9.109375" customWidth="1" style="20" min="12773" max="13022"/>
    <col width="6.109375" customWidth="1" style="20" min="13023" max="13023"/>
    <col width="79.5546875" customWidth="1" style="20" min="13024" max="13024"/>
    <col width="14.6640625" customWidth="1" style="20" min="13025" max="13028"/>
    <col width="9.109375" customWidth="1" style="20" min="13029" max="13278"/>
    <col width="6.109375" customWidth="1" style="20" min="13279" max="13279"/>
    <col width="79.5546875" customWidth="1" style="20" min="13280" max="13280"/>
    <col width="14.6640625" customWidth="1" style="20" min="13281" max="13284"/>
    <col width="9.109375" customWidth="1" style="20" min="13285" max="13534"/>
    <col width="6.109375" customWidth="1" style="20" min="13535" max="13535"/>
    <col width="79.5546875" customWidth="1" style="20" min="13536" max="13536"/>
    <col width="14.6640625" customWidth="1" style="20" min="13537" max="13540"/>
    <col width="9.109375" customWidth="1" style="20" min="13541" max="13790"/>
    <col width="6.109375" customWidth="1" style="20" min="13791" max="13791"/>
    <col width="79.5546875" customWidth="1" style="20" min="13792" max="13792"/>
    <col width="14.6640625" customWidth="1" style="20" min="13793" max="13796"/>
    <col width="9.109375" customWidth="1" style="20" min="13797" max="14046"/>
    <col width="6.109375" customWidth="1" style="20" min="14047" max="14047"/>
    <col width="79.5546875" customWidth="1" style="20" min="14048" max="14048"/>
    <col width="14.6640625" customWidth="1" style="20" min="14049" max="14052"/>
    <col width="9.109375" customWidth="1" style="20" min="14053" max="14302"/>
    <col width="6.109375" customWidth="1" style="20" min="14303" max="14303"/>
    <col width="79.5546875" customWidth="1" style="20" min="14304" max="14304"/>
    <col width="14.6640625" customWidth="1" style="20" min="14305" max="14308"/>
    <col width="9.109375" customWidth="1" style="20" min="14309" max="14558"/>
    <col width="6.109375" customWidth="1" style="20" min="14559" max="14559"/>
    <col width="79.5546875" customWidth="1" style="20" min="14560" max="14560"/>
    <col width="14.6640625" customWidth="1" style="20" min="14561" max="14564"/>
    <col width="9.109375" customWidth="1" style="20" min="14565" max="14814"/>
    <col width="6.109375" customWidth="1" style="20" min="14815" max="14815"/>
    <col width="79.5546875" customWidth="1" style="20" min="14816" max="14816"/>
    <col width="14.6640625" customWidth="1" style="20" min="14817" max="14820"/>
    <col width="9.109375" customWidth="1" style="20" min="14821" max="15070"/>
    <col width="6.109375" customWidth="1" style="20" min="15071" max="15071"/>
    <col width="79.5546875" customWidth="1" style="20" min="15072" max="15072"/>
    <col width="14.6640625" customWidth="1" style="20" min="15073" max="15076"/>
    <col width="9.109375" customWidth="1" style="20" min="15077" max="15326"/>
    <col width="6.109375" customWidth="1" style="20" min="15327" max="15327"/>
    <col width="79.5546875" customWidth="1" style="20" min="15328" max="15328"/>
    <col width="14.6640625" customWidth="1" style="20" min="15329" max="15332"/>
    <col width="9.109375" customWidth="1" style="20" min="15333" max="15582"/>
    <col width="6.109375" customWidth="1" style="20" min="15583" max="15583"/>
    <col width="79.5546875" customWidth="1" style="20" min="15584" max="15584"/>
    <col width="14.6640625" customWidth="1" style="20" min="15585" max="15588"/>
    <col width="9.109375" customWidth="1" style="20" min="15589" max="15838"/>
    <col width="6.109375" customWidth="1" style="20" min="15839" max="15839"/>
    <col width="79.5546875" customWidth="1" style="20" min="15840" max="15840"/>
    <col width="14.6640625" customWidth="1" style="20" min="15841" max="15844"/>
    <col width="9.109375" customWidth="1" style="20" min="15845" max="16094"/>
    <col width="6.109375" customWidth="1" style="20" min="16095" max="16095"/>
    <col width="79.5546875" customWidth="1" style="20" min="16096" max="16096"/>
    <col width="14.6640625" customWidth="1" style="20" min="16097" max="16100"/>
    <col width="9.109375" customWidth="1" style="20" min="16101" max="16384"/>
  </cols>
  <sheetData>
    <row r="1">
      <c r="A1" s="459" t="inlineStr">
        <is>
          <t>4 - Proiecții financiare la nivelul întreprinderii</t>
        </is>
      </c>
    </row>
    <row r="2" ht="13.8" customHeight="1" s="350"/>
    <row r="3" ht="15" customHeight="1" s="350">
      <c r="A3" s="540" t="inlineStr">
        <is>
          <t>Tabel 1 - Proiectia fluxului de numerar la nivelul intregii activitati a intreprinderii, cu ajutor nerambursabil, pe perioada de implementare si operare a investitiei</t>
        </is>
      </c>
      <c r="B3" s="566" t="n"/>
      <c r="C3" s="566" t="n"/>
      <c r="D3" s="566" t="n"/>
      <c r="E3" s="566" t="n"/>
      <c r="F3" s="566" t="n"/>
      <c r="G3" s="566" t="n"/>
      <c r="H3" s="566" t="n"/>
      <c r="I3" s="566" t="n"/>
      <c r="J3" s="566" t="n"/>
      <c r="K3" s="566" t="n"/>
      <c r="L3" s="566" t="n"/>
    </row>
    <row r="4" ht="13.8" customFormat="1" customHeight="1" s="405">
      <c r="A4" s="536" t="inlineStr">
        <is>
          <t>Nr. Crt.</t>
        </is>
      </c>
      <c r="B4" s="536" t="inlineStr">
        <is>
          <t>CATEGORIA</t>
        </is>
      </c>
      <c r="C4" s="532" t="inlineStr">
        <is>
          <t>Implementare si operare</t>
        </is>
      </c>
      <c r="D4" s="552" t="n"/>
      <c r="E4" s="552" t="n"/>
      <c r="F4" s="553" t="n"/>
      <c r="G4" s="405" t="n"/>
      <c r="H4" s="405" t="n"/>
      <c r="I4" s="405" t="n"/>
      <c r="J4" s="405" t="n"/>
      <c r="K4" s="405" t="n"/>
      <c r="L4" s="405" t="n"/>
    </row>
    <row r="5" ht="24" customFormat="1" customHeight="1" s="405">
      <c r="A5" s="558" t="n"/>
      <c r="B5" s="558" t="n"/>
      <c r="C5" s="404" t="inlineStr">
        <is>
          <t>AN Implementare</t>
        </is>
      </c>
      <c r="D5" s="404" t="inlineStr">
        <is>
          <t>AN 1</t>
        </is>
      </c>
      <c r="E5" s="404" t="inlineStr">
        <is>
          <t>AN 2</t>
        </is>
      </c>
      <c r="F5" s="404" t="inlineStr">
        <is>
          <t>AN 3</t>
        </is>
      </c>
    </row>
    <row r="6" ht="14.4" customHeight="1" s="350">
      <c r="A6" s="544" t="inlineStr">
        <is>
          <t>ACTIVITATEA DE FINANTARE</t>
        </is>
      </c>
      <c r="B6" s="552" t="n"/>
      <c r="C6" s="552" t="n"/>
      <c r="D6" s="552" t="n"/>
      <c r="E6" s="552" t="n"/>
      <c r="F6" s="553" t="n"/>
      <c r="G6" s="20" t="n"/>
      <c r="H6" s="20" t="n"/>
      <c r="I6" s="20" t="n"/>
      <c r="J6" s="20" t="n"/>
      <c r="K6" s="20" t="n"/>
      <c r="L6" s="20" t="n"/>
    </row>
    <row r="7">
      <c r="A7" s="567" t="inlineStr">
        <is>
          <t>INCASARI DIN ACTIVITATEA DE FINANTARE</t>
        </is>
      </c>
      <c r="B7" s="553" t="n"/>
      <c r="C7" s="202" t="n"/>
      <c r="D7" s="202" t="n"/>
      <c r="E7" s="202" t="n"/>
      <c r="F7" s="202" t="n"/>
      <c r="G7" s="20" t="n"/>
      <c r="H7" s="20" t="n"/>
      <c r="I7" s="20" t="n"/>
      <c r="J7" s="20" t="n"/>
      <c r="K7" s="20" t="n"/>
      <c r="L7" s="20" t="n"/>
    </row>
    <row r="8" ht="24" customHeight="1" s="350">
      <c r="A8" s="24" t="n">
        <v>1</v>
      </c>
      <c r="B8" s="8" t="inlineStr">
        <is>
          <t>Aport la capitalul societatii  (imprumuturi de la actionari/asociati)</t>
        </is>
      </c>
      <c r="C8" s="199" t="n">
        <v>0</v>
      </c>
      <c r="D8" s="199" t="n">
        <v>0</v>
      </c>
      <c r="E8" s="199" t="n">
        <v>0</v>
      </c>
      <c r="F8" s="199" t="n">
        <v>0</v>
      </c>
      <c r="G8" s="20" t="n"/>
      <c r="H8" s="20" t="n"/>
      <c r="I8" s="20" t="n"/>
      <c r="J8" s="20" t="n"/>
      <c r="K8" s="20" t="n"/>
      <c r="L8" s="20" t="n"/>
    </row>
    <row r="9">
      <c r="A9" s="5" t="n">
        <v>2</v>
      </c>
      <c r="B9" s="8" t="inlineStr">
        <is>
          <t>Credite pe termen lung, din care</t>
        </is>
      </c>
      <c r="C9" s="249">
        <f>C10+C11</f>
        <v/>
      </c>
      <c r="D9" s="249">
        <f>D10+D11</f>
        <v/>
      </c>
      <c r="E9" s="249">
        <f>E10+E11</f>
        <v/>
      </c>
      <c r="F9" s="249">
        <f>F10+F11</f>
        <v/>
      </c>
      <c r="G9" s="20" t="n"/>
      <c r="H9" s="20" t="n"/>
      <c r="I9" s="20" t="n"/>
      <c r="J9" s="20" t="n"/>
      <c r="K9" s="20" t="n"/>
      <c r="L9" s="20" t="n"/>
    </row>
    <row r="10">
      <c r="A10" s="5" t="inlineStr">
        <is>
          <t>2.1.</t>
        </is>
      </c>
      <c r="B10" s="8" t="inlineStr">
        <is>
          <t>Imprumut pentru realizarea investitiei</t>
        </is>
      </c>
      <c r="C10" s="199" t="n">
        <v>0</v>
      </c>
      <c r="D10" s="199" t="n">
        <v>0</v>
      </c>
      <c r="E10" s="199" t="n">
        <v>0</v>
      </c>
      <c r="F10" s="199" t="n">
        <v>0</v>
      </c>
      <c r="G10" s="20" t="n"/>
      <c r="H10" s="20" t="n"/>
      <c r="I10" s="20" t="n"/>
      <c r="J10" s="20" t="n"/>
      <c r="K10" s="20" t="n"/>
      <c r="L10" s="20" t="n"/>
    </row>
    <row r="11" ht="24" customHeight="1" s="350">
      <c r="A11" s="5" t="inlineStr">
        <is>
          <t>2.2.</t>
        </is>
      </c>
      <c r="B11" s="8" t="inlineStr">
        <is>
          <t>Alte Credite pe termen mediu si lung, leasinguri, alte datorii financiare</t>
        </is>
      </c>
      <c r="C11" s="199" t="n">
        <v>0</v>
      </c>
      <c r="D11" s="199" t="n">
        <v>0</v>
      </c>
      <c r="E11" s="199" t="n">
        <v>0</v>
      </c>
      <c r="F11" s="199" t="n">
        <v>0</v>
      </c>
      <c r="G11" s="20" t="n"/>
      <c r="H11" s="20" t="n"/>
      <c r="I11" s="20" t="n"/>
      <c r="J11" s="20" t="n"/>
      <c r="K11" s="20" t="n"/>
      <c r="L11" s="20" t="n"/>
    </row>
    <row r="12">
      <c r="A12" s="5" t="n">
        <v>3</v>
      </c>
      <c r="B12" s="8" t="inlineStr">
        <is>
          <t>Credite pe termen scurt</t>
        </is>
      </c>
      <c r="C12" s="199" t="n">
        <v>0</v>
      </c>
      <c r="D12" s="199" t="n">
        <v>0</v>
      </c>
      <c r="E12" s="199" t="n">
        <v>0</v>
      </c>
      <c r="F12" s="199" t="n">
        <v>0</v>
      </c>
      <c r="G12" s="20" t="n"/>
      <c r="H12" s="20" t="n"/>
      <c r="I12" s="20" t="n"/>
      <c r="J12" s="20" t="n"/>
      <c r="K12" s="20" t="n"/>
      <c r="L12" s="20" t="n"/>
    </row>
    <row r="13">
      <c r="A13" s="5" t="n">
        <v>4</v>
      </c>
      <c r="B13" s="8" t="inlineStr">
        <is>
          <t>Ajutor nerambursabil</t>
        </is>
      </c>
      <c r="C13" s="199">
        <f>'2A-Buget_cerere'!C29</f>
        <v/>
      </c>
      <c r="D13" s="199" t="n">
        <v>0</v>
      </c>
      <c r="E13" s="199" t="n">
        <v>0</v>
      </c>
      <c r="F13" s="199" t="n">
        <v>0</v>
      </c>
      <c r="G13" s="20" t="n"/>
      <c r="H13" s="20" t="n"/>
      <c r="I13" s="20" t="n"/>
      <c r="J13" s="20" t="n"/>
      <c r="K13" s="20" t="n"/>
      <c r="L13" s="20" t="n"/>
    </row>
    <row r="14">
      <c r="A14" s="530" t="inlineStr">
        <is>
          <t>Total intrari de lichiditati din activitatea de finantare</t>
        </is>
      </c>
      <c r="B14" s="553" t="n"/>
      <c r="C14" s="250">
        <f>C8+C9+C12+C13</f>
        <v/>
      </c>
      <c r="D14" s="250">
        <f>D8+D9+D12+D13</f>
        <v/>
      </c>
      <c r="E14" s="250">
        <f>E8+E9+E12+E13</f>
        <v/>
      </c>
      <c r="F14" s="250">
        <f>F8+F9+F12+F13</f>
        <v/>
      </c>
      <c r="G14" s="20" t="n"/>
      <c r="H14" s="20" t="n"/>
      <c r="I14" s="20" t="n"/>
      <c r="J14" s="20" t="n"/>
      <c r="K14" s="20" t="n"/>
      <c r="L14" s="20" t="n"/>
    </row>
    <row r="15">
      <c r="A15" s="567" t="inlineStr">
        <is>
          <t>PLATI DIN ACTIVITATEA DE FINANTARE</t>
        </is>
      </c>
      <c r="B15" s="553" t="n"/>
      <c r="C15" s="250" t="n"/>
      <c r="D15" s="250" t="n"/>
      <c r="E15" s="250" t="n"/>
      <c r="F15" s="250" t="n"/>
      <c r="G15" s="20" t="n"/>
      <c r="H15" s="20" t="n"/>
      <c r="I15" s="20" t="n"/>
      <c r="J15" s="20" t="n"/>
      <c r="K15" s="20" t="n"/>
      <c r="L15" s="20" t="n"/>
    </row>
    <row r="16">
      <c r="A16" s="5" t="n">
        <v>5</v>
      </c>
      <c r="B16" s="8" t="inlineStr">
        <is>
          <t xml:space="preserve">Rambursari de Credite pe termen mediu si lung, din care:  </t>
        </is>
      </c>
      <c r="C16" s="249">
        <f>C17+C18</f>
        <v/>
      </c>
      <c r="D16" s="249">
        <f>D17+D18</f>
        <v/>
      </c>
      <c r="E16" s="249">
        <f>E17+E18</f>
        <v/>
      </c>
      <c r="F16" s="249">
        <f>F17+F18</f>
        <v/>
      </c>
      <c r="G16" s="20" t="n"/>
      <c r="H16" s="20" t="n"/>
      <c r="I16" s="20" t="n"/>
      <c r="J16" s="20" t="n"/>
      <c r="K16" s="20" t="n"/>
      <c r="L16" s="20" t="n"/>
    </row>
    <row r="17">
      <c r="A17" s="5" t="n">
        <v>5.1</v>
      </c>
      <c r="B17" s="505" t="inlineStr">
        <is>
          <t xml:space="preserve">      Rate la imprumut - cofinantare la proiect</t>
        </is>
      </c>
      <c r="C17" s="199" t="n">
        <v>0</v>
      </c>
      <c r="D17" s="199" t="n">
        <v>0</v>
      </c>
      <c r="E17" s="199" t="n">
        <v>0</v>
      </c>
      <c r="F17" s="199" t="n">
        <v>0</v>
      </c>
      <c r="G17" s="20" t="n"/>
      <c r="H17" s="258" t="n"/>
      <c r="I17" s="258" t="n"/>
      <c r="J17" s="258" t="n"/>
      <c r="K17" s="258" t="n"/>
      <c r="L17" s="258" t="n"/>
      <c r="M17" s="258" t="n"/>
      <c r="N17" s="258" t="n"/>
    </row>
    <row r="18" ht="24" customHeight="1" s="350">
      <c r="A18" s="5" t="n">
        <v>5.2</v>
      </c>
      <c r="B18" s="505" t="inlineStr">
        <is>
          <t xml:space="preserve">      Rate la alte credite pe termen mediu si lung, leasinguri, alte datorii financ.</t>
        </is>
      </c>
      <c r="C18" s="199" t="n">
        <v>0</v>
      </c>
      <c r="D18" s="199" t="n">
        <v>0</v>
      </c>
      <c r="E18" s="199" t="n">
        <v>0</v>
      </c>
      <c r="F18" s="199" t="n">
        <v>0</v>
      </c>
      <c r="G18" s="20" t="n"/>
      <c r="H18" s="20" t="n"/>
      <c r="I18" s="20" t="n"/>
      <c r="J18" s="20" t="n"/>
      <c r="K18" s="20" t="n"/>
      <c r="L18" s="20" t="n"/>
    </row>
    <row r="19">
      <c r="A19" s="5" t="n">
        <v>6</v>
      </c>
      <c r="B19" s="505" t="inlineStr">
        <is>
          <t>Rambursari de credite pe termen scurt</t>
        </is>
      </c>
      <c r="C19" s="199" t="n">
        <v>0</v>
      </c>
      <c r="D19" s="199" t="n">
        <v>0</v>
      </c>
      <c r="E19" s="199" t="n">
        <v>0</v>
      </c>
      <c r="F19" s="199" t="n">
        <v>0</v>
      </c>
      <c r="G19" s="20" t="n"/>
      <c r="H19" s="20" t="n"/>
      <c r="I19" s="20" t="n"/>
      <c r="J19" s="20" t="n"/>
      <c r="K19" s="20" t="n"/>
      <c r="L19" s="20" t="n"/>
    </row>
    <row r="20">
      <c r="A20" s="5" t="n">
        <v>7</v>
      </c>
      <c r="B20" s="8" t="inlineStr">
        <is>
          <t>Dividende (inclusiv impozitele aferentăe)</t>
        </is>
      </c>
      <c r="C20" s="199">
        <f>'1B-ContPP'!C56 + 0.5*'1B-ContPP'!C56</f>
        <v/>
      </c>
      <c r="D20" s="199" t="n">
        <v>0</v>
      </c>
      <c r="E20" s="199" t="n">
        <v>0</v>
      </c>
      <c r="F20" s="199" t="n">
        <v>0</v>
      </c>
      <c r="G20" s="20" t="n"/>
      <c r="H20" s="20" t="n"/>
      <c r="I20" s="20" t="n"/>
      <c r="J20" s="20" t="n"/>
      <c r="K20" s="20" t="n"/>
      <c r="L20" s="20" t="n"/>
    </row>
    <row r="21" customFormat="1" s="25">
      <c r="A21" s="530" t="inlineStr">
        <is>
          <t>Total iesiri de lichiditati din activitatea finantare</t>
        </is>
      </c>
      <c r="B21" s="553" t="n"/>
      <c r="C21" s="250">
        <f>C16+C20+C19</f>
        <v/>
      </c>
      <c r="D21" s="250">
        <f>D16+D20+D19</f>
        <v/>
      </c>
      <c r="E21" s="250">
        <f>E16+E20+E19</f>
        <v/>
      </c>
      <c r="F21" s="250">
        <f>F16+F20+F19</f>
        <v/>
      </c>
    </row>
    <row r="22" customFormat="1" s="25">
      <c r="A22" s="530" t="inlineStr">
        <is>
          <t>Flux de lichiditati din activitatea de finantare</t>
        </is>
      </c>
      <c r="B22" s="553" t="n"/>
      <c r="C22" s="250">
        <f>C14-C21</f>
        <v/>
      </c>
      <c r="D22" s="250">
        <f>D14-D21</f>
        <v/>
      </c>
      <c r="E22" s="250">
        <f>E14-E21</f>
        <v/>
      </c>
      <c r="F22" s="250">
        <f>F14-F21</f>
        <v/>
      </c>
    </row>
    <row r="23" ht="14.4" customHeight="1" s="350">
      <c r="A23" s="531" t="inlineStr">
        <is>
          <t>ACTIVITATEA DE INVESTITII</t>
        </is>
      </c>
      <c r="B23" s="552" t="n"/>
      <c r="C23" s="552" t="n"/>
      <c r="D23" s="552" t="n"/>
      <c r="E23" s="552" t="n"/>
      <c r="F23" s="553" t="n"/>
      <c r="G23" s="20" t="n"/>
      <c r="H23" s="20" t="n"/>
      <c r="I23" s="20" t="n"/>
      <c r="J23" s="20" t="n"/>
      <c r="K23" s="20" t="n"/>
      <c r="L23" s="20" t="n"/>
    </row>
    <row r="24">
      <c r="A24" s="567" t="inlineStr">
        <is>
          <t>INCASARI DIN ACTIVITATEA DE INVESTITII</t>
        </is>
      </c>
      <c r="B24" s="553" t="n"/>
      <c r="C24" s="202" t="n"/>
      <c r="D24" s="202" t="n"/>
      <c r="E24" s="202" t="n"/>
      <c r="F24" s="202" t="n"/>
      <c r="G24" s="20" t="n"/>
      <c r="H24" s="20" t="n"/>
      <c r="I24" s="20" t="n"/>
      <c r="J24" s="20" t="n"/>
      <c r="K24" s="20" t="n"/>
      <c r="L24" s="20" t="n"/>
    </row>
    <row r="25">
      <c r="A25" s="5" t="n">
        <v>8</v>
      </c>
      <c r="B25" s="8" t="inlineStr">
        <is>
          <t>Vanzari de active, incl TVA</t>
        </is>
      </c>
      <c r="C25" s="199" t="n">
        <v>0</v>
      </c>
      <c r="D25" s="199" t="n">
        <v>0</v>
      </c>
      <c r="E25" s="199" t="n">
        <v>0</v>
      </c>
      <c r="F25" s="199" t="n">
        <v>0</v>
      </c>
      <c r="G25" s="20" t="n"/>
      <c r="H25" s="20" t="n"/>
      <c r="I25" s="20" t="n"/>
      <c r="J25" s="20" t="n"/>
      <c r="K25" s="20" t="n"/>
      <c r="L25" s="20" t="n"/>
    </row>
    <row r="26">
      <c r="A26" s="530" t="inlineStr">
        <is>
          <t>Total intrari de lichididati din activitatea de investitii</t>
        </is>
      </c>
      <c r="B26" s="553" t="n"/>
      <c r="C26" s="202">
        <f>C25</f>
        <v/>
      </c>
      <c r="D26" s="202">
        <f>D25</f>
        <v/>
      </c>
      <c r="E26" s="202">
        <f>E25</f>
        <v/>
      </c>
      <c r="F26" s="202">
        <f>F25</f>
        <v/>
      </c>
      <c r="G26" s="20" t="n"/>
      <c r="H26" s="20" t="n"/>
      <c r="I26" s="20" t="n"/>
      <c r="J26" s="20" t="n"/>
      <c r="K26" s="20" t="n"/>
      <c r="L26" s="20" t="n"/>
    </row>
    <row r="27" ht="27.75" customHeight="1" s="350">
      <c r="A27" s="531" t="inlineStr">
        <is>
          <t>PLATI DIN ACTIVITATEA DE INVESTITII (inlcusiv reinvestirile din cadrul proiectului de investitii)</t>
        </is>
      </c>
      <c r="B27" s="553" t="n"/>
      <c r="C27" s="202" t="n"/>
      <c r="D27" s="202" t="n"/>
      <c r="E27" s="202" t="n"/>
      <c r="F27" s="202" t="n"/>
      <c r="G27" s="20" t="n"/>
      <c r="H27" s="20" t="n"/>
      <c r="I27" s="20" t="n"/>
      <c r="J27" s="20" t="n"/>
      <c r="K27" s="20" t="n"/>
      <c r="L27" s="20" t="n"/>
    </row>
    <row r="28">
      <c r="A28" s="5" t="n">
        <v>9</v>
      </c>
      <c r="B28" s="8" t="inlineStr">
        <is>
          <t xml:space="preserve">Achizitii de active fixe corporale, incl TVA </t>
        </is>
      </c>
      <c r="C28" s="199">
        <f>'2A-Buget_cerere'!C23</f>
        <v/>
      </c>
      <c r="D28" s="199" t="n">
        <v>0</v>
      </c>
      <c r="E28" s="199" t="n">
        <v>0</v>
      </c>
      <c r="F28" s="199" t="n">
        <v>0</v>
      </c>
      <c r="G28" s="20" t="n"/>
      <c r="H28" s="20" t="n"/>
      <c r="I28" s="20" t="n"/>
      <c r="J28" s="20" t="n"/>
      <c r="K28" s="20" t="n"/>
      <c r="L28" s="20" t="n"/>
    </row>
    <row r="29">
      <c r="A29" s="5" t="n">
        <v>10</v>
      </c>
      <c r="B29" s="8" t="inlineStr">
        <is>
          <t>Achizitii de active fixe necorporale, incl TVA</t>
        </is>
      </c>
      <c r="C29" s="199" t="n">
        <v>0</v>
      </c>
      <c r="D29" s="199" t="n">
        <v>0</v>
      </c>
      <c r="E29" s="199" t="n">
        <v>0</v>
      </c>
      <c r="F29" s="199" t="n">
        <v>0</v>
      </c>
      <c r="G29" s="20" t="n"/>
      <c r="H29" s="20" t="n"/>
      <c r="I29" s="20" t="n"/>
      <c r="J29" s="20" t="n"/>
      <c r="K29" s="20" t="n"/>
      <c r="L29" s="20" t="n"/>
    </row>
    <row r="30">
      <c r="A30" s="5" t="n">
        <v>11</v>
      </c>
      <c r="B30" s="8" t="inlineStr">
        <is>
          <t>Cresterea investitiilor in curs (esalonat cf. Grafic realizare)</t>
        </is>
      </c>
      <c r="C30" s="199" t="n">
        <v>0</v>
      </c>
      <c r="D30" s="199" t="n">
        <v>0</v>
      </c>
      <c r="E30" s="199" t="n">
        <v>0</v>
      </c>
      <c r="F30" s="199" t="n">
        <v>0</v>
      </c>
      <c r="G30" s="20" t="n"/>
      <c r="H30" s="20" t="n"/>
      <c r="I30" s="20" t="n"/>
      <c r="J30" s="20" t="n"/>
      <c r="K30" s="20" t="n"/>
      <c r="L30" s="20" t="n"/>
    </row>
    <row r="31">
      <c r="A31" s="530" t="inlineStr">
        <is>
          <t>Total iesiri de lichididati din activitatea de investitii</t>
        </is>
      </c>
      <c r="B31" s="553" t="n"/>
      <c r="C31" s="250">
        <f>SUM(C28:C30)</f>
        <v/>
      </c>
      <c r="D31" s="250">
        <f>SUM(D28:D30)</f>
        <v/>
      </c>
      <c r="E31" s="250">
        <f>SUM(E28:E30)</f>
        <v/>
      </c>
      <c r="F31" s="250">
        <f>SUM(F28:F30)</f>
        <v/>
      </c>
      <c r="G31" s="20" t="n"/>
      <c r="H31" s="20" t="n"/>
      <c r="I31" s="20" t="n"/>
      <c r="J31" s="20" t="n"/>
      <c r="K31" s="20" t="n"/>
      <c r="L31" s="20" t="n"/>
    </row>
    <row r="32">
      <c r="A32" s="530" t="inlineStr">
        <is>
          <t>Flux de lichiditati din activitatea de  investitii</t>
        </is>
      </c>
      <c r="B32" s="553" t="n"/>
      <c r="C32" s="250">
        <f>C26-C31</f>
        <v/>
      </c>
      <c r="D32" s="250">
        <f>D26-D31</f>
        <v/>
      </c>
      <c r="E32" s="250">
        <f>E26-E31</f>
        <v/>
      </c>
      <c r="F32" s="250">
        <f>F26-F31</f>
        <v/>
      </c>
      <c r="G32" s="20" t="n"/>
      <c r="H32" s="20" t="n"/>
      <c r="I32" s="20" t="n"/>
      <c r="J32" s="20" t="n"/>
      <c r="K32" s="20" t="n"/>
      <c r="L32" s="20" t="n"/>
    </row>
    <row r="33">
      <c r="A33" s="530" t="inlineStr">
        <is>
          <t>Flux de lichiditati din activitatea de investitii si finantare</t>
        </is>
      </c>
      <c r="B33" s="553" t="n"/>
      <c r="C33" s="250">
        <f>C32+C22</f>
        <v/>
      </c>
      <c r="D33" s="250">
        <f>D32+D22</f>
        <v/>
      </c>
      <c r="E33" s="250">
        <f>E32+E22</f>
        <v/>
      </c>
      <c r="F33" s="250">
        <f>F32+F22</f>
        <v/>
      </c>
      <c r="G33" s="20" t="n"/>
      <c r="H33" s="20" t="n"/>
      <c r="I33" s="20" t="n"/>
      <c r="J33" s="20" t="n"/>
      <c r="K33" s="20" t="n"/>
      <c r="L33" s="20" t="n"/>
    </row>
    <row r="34" ht="14.4" customHeight="1" s="350">
      <c r="A34" s="531" t="inlineStr">
        <is>
          <t>ACTIVITATEA DE EXPLOATARE</t>
        </is>
      </c>
      <c r="B34" s="552" t="n"/>
      <c r="C34" s="552" t="n"/>
      <c r="D34" s="552" t="n"/>
      <c r="E34" s="552" t="n"/>
      <c r="F34" s="553" t="n"/>
      <c r="G34" s="20" t="n"/>
      <c r="H34" s="20" t="n"/>
      <c r="I34" s="20" t="n"/>
      <c r="J34" s="20" t="n"/>
      <c r="K34" s="20" t="n"/>
      <c r="L34" s="20" t="n"/>
    </row>
    <row r="35">
      <c r="A35" s="5" t="n"/>
      <c r="B35" s="531" t="inlineStr">
        <is>
          <t>INCASARI DIN ACTIVITATEA DE EXPLOATARE</t>
        </is>
      </c>
      <c r="C35" s="250" t="n"/>
      <c r="D35" s="250" t="n"/>
      <c r="E35" s="250" t="n"/>
      <c r="F35" s="250" t="n"/>
      <c r="G35" s="20" t="n"/>
      <c r="H35" s="20" t="n"/>
      <c r="I35" s="20" t="n"/>
      <c r="J35" s="20" t="n"/>
      <c r="K35" s="20" t="n"/>
      <c r="L35" s="20" t="n"/>
    </row>
    <row r="36">
      <c r="A36" s="29" t="n">
        <v>11</v>
      </c>
      <c r="B36" s="30" t="inlineStr">
        <is>
          <t>Venituri din exploatare, incl TVA</t>
        </is>
      </c>
      <c r="C36" s="204">
        <f>C37+C40+C43+C46+C49+C52</f>
        <v/>
      </c>
      <c r="D36" s="204">
        <f>D37+D40+D43+D46+D49+D52</f>
        <v/>
      </c>
      <c r="E36" s="204">
        <f>E37+E40+E43+E46+E49+E52</f>
        <v/>
      </c>
      <c r="F36" s="204">
        <f>F37+F40+F43+F46+F49+F52</f>
        <v/>
      </c>
      <c r="G36" s="20" t="n"/>
      <c r="H36" s="20" t="n"/>
      <c r="I36" s="20" t="n"/>
      <c r="J36" s="20" t="n"/>
      <c r="K36" s="20" t="n"/>
      <c r="L36" s="20" t="n"/>
    </row>
    <row r="37">
      <c r="A37" s="29" t="n">
        <v>11.1</v>
      </c>
      <c r="B37" s="30" t="inlineStr">
        <is>
          <t>Venituri din vanzari produse</t>
        </is>
      </c>
      <c r="C37" s="351">
        <f>C38+C39</f>
        <v/>
      </c>
      <c r="D37" s="351">
        <f>D38+D39</f>
        <v/>
      </c>
      <c r="E37" s="351">
        <f>E38+E39</f>
        <v/>
      </c>
      <c r="F37" s="351">
        <f>F38+F39</f>
        <v/>
      </c>
      <c r="G37" s="20" t="n"/>
      <c r="H37" s="20" t="n"/>
      <c r="I37" s="20" t="n"/>
      <c r="J37" s="20" t="n"/>
      <c r="K37" s="20" t="n"/>
      <c r="L37" s="20" t="n"/>
    </row>
    <row r="38">
      <c r="A38" s="29" t="n"/>
      <c r="B38" s="352" t="inlineStr">
        <is>
          <t>Venituri din  vanzari produse (fără TVA)</t>
        </is>
      </c>
      <c r="C38" s="199">
        <f>'3A-Proiectii_fin_investitie'!D65/1.19</f>
        <v/>
      </c>
      <c r="D38" s="199">
        <f>'3A-Proiectii_fin_investitie'!E65/1.19</f>
        <v/>
      </c>
      <c r="E38" s="199">
        <f>'3A-Proiectii_fin_investitie'!F65/1.19</f>
        <v/>
      </c>
      <c r="F38" s="199">
        <f>'3A-Proiectii_fin_investitie'!G65/1.19</f>
        <v/>
      </c>
      <c r="G38" s="20" t="n"/>
      <c r="H38" s="20" t="n"/>
      <c r="I38" s="20" t="n"/>
      <c r="J38" s="20" t="n"/>
      <c r="K38" s="20" t="n"/>
      <c r="L38" s="20" t="n"/>
    </row>
    <row r="39">
      <c r="A39" s="29" t="n"/>
      <c r="B39" s="352" t="inlineStr">
        <is>
          <t>TVA aferentă veniturilor din vanzari produse</t>
        </is>
      </c>
      <c r="C39" s="199">
        <f>C38*0.19</f>
        <v/>
      </c>
      <c r="D39" s="199">
        <f>D38*0.19</f>
        <v/>
      </c>
      <c r="E39" s="199">
        <f>E38*0.19</f>
        <v/>
      </c>
      <c r="F39" s="199">
        <f>F38*0.19</f>
        <v/>
      </c>
      <c r="G39" s="20" t="n"/>
      <c r="H39" s="20" t="n"/>
      <c r="I39" s="20" t="n"/>
      <c r="J39" s="20" t="n"/>
      <c r="K39" s="20" t="n"/>
      <c r="L39" s="20" t="n"/>
    </row>
    <row r="40">
      <c r="A40" s="29" t="inlineStr">
        <is>
          <t>11.2.</t>
        </is>
      </c>
      <c r="B40" s="30" t="inlineStr">
        <is>
          <t>Venituri din prestari servicii</t>
        </is>
      </c>
      <c r="C40" s="351">
        <f>C41+C42</f>
        <v/>
      </c>
      <c r="D40" s="351">
        <f>D41+D42</f>
        <v/>
      </c>
      <c r="E40" s="351">
        <f>E41+E42</f>
        <v/>
      </c>
      <c r="F40" s="351">
        <f>F41+F42</f>
        <v/>
      </c>
      <c r="G40" s="20" t="n"/>
      <c r="H40" s="20" t="n"/>
      <c r="I40" s="20" t="n"/>
      <c r="J40" s="20" t="n"/>
      <c r="K40" s="20" t="n"/>
      <c r="L40" s="20" t="n"/>
    </row>
    <row r="41">
      <c r="A41" s="29" t="n"/>
      <c r="B41" s="352" t="inlineStr">
        <is>
          <t>Venituri din prestari servicii (fără TVA)</t>
        </is>
      </c>
      <c r="C41" s="199">
        <f>'3A-Proiectii_fin_investitie'!D68/1.19</f>
        <v/>
      </c>
      <c r="D41" s="199">
        <f>'3A-Proiectii_fin_investitie'!E68/1.19</f>
        <v/>
      </c>
      <c r="E41" s="199">
        <f>'3A-Proiectii_fin_investitie'!F68/1.19</f>
        <v/>
      </c>
      <c r="F41" s="199">
        <f>'3A-Proiectii_fin_investitie'!G68/1.19</f>
        <v/>
      </c>
      <c r="G41" s="20" t="n"/>
      <c r="H41" s="20" t="n"/>
      <c r="I41" s="20" t="n"/>
      <c r="J41" s="20" t="n"/>
      <c r="K41" s="20" t="n"/>
      <c r="L41" s="20" t="n"/>
    </row>
    <row r="42">
      <c r="A42" s="29" t="n"/>
      <c r="B42" s="352" t="inlineStr">
        <is>
          <t>TVA aferentă veniturilor din  prestari servicii</t>
        </is>
      </c>
      <c r="C42" s="199">
        <f>C41*0.19</f>
        <v/>
      </c>
      <c r="D42" s="199">
        <f>E41*0.19</f>
        <v/>
      </c>
      <c r="E42" s="199">
        <f>D41*0.19</f>
        <v/>
      </c>
      <c r="F42" s="199">
        <f>F41*0.19</f>
        <v/>
      </c>
      <c r="G42" s="20" t="n"/>
      <c r="H42" s="20" t="n"/>
      <c r="I42" s="20" t="n"/>
      <c r="J42" s="20" t="n"/>
      <c r="K42" s="20" t="n"/>
      <c r="L42" s="20" t="n"/>
    </row>
    <row r="43">
      <c r="A43" s="29" t="inlineStr">
        <is>
          <t>11.3.</t>
        </is>
      </c>
      <c r="B43" s="30" t="inlineStr">
        <is>
          <t>Venituri din vanzari marfuri</t>
        </is>
      </c>
      <c r="C43" s="351">
        <f>C44+C45</f>
        <v/>
      </c>
      <c r="D43" s="351">
        <f>D44+D45</f>
        <v/>
      </c>
      <c r="E43" s="351">
        <f>E44+E45</f>
        <v/>
      </c>
      <c r="F43" s="351">
        <f>F44+F45</f>
        <v/>
      </c>
      <c r="G43" s="20" t="n"/>
      <c r="H43" s="20" t="n"/>
      <c r="I43" s="20" t="n"/>
      <c r="J43" s="20" t="n"/>
      <c r="K43" s="20" t="n"/>
      <c r="L43" s="20" t="n"/>
    </row>
    <row r="44">
      <c r="A44" s="29" t="n"/>
      <c r="B44" s="352" t="inlineStr">
        <is>
          <t>Venituri din vanzari marfuri (fără TVA)</t>
        </is>
      </c>
      <c r="C44" s="199">
        <f>'3A-Proiectii_fin_investitie'!D73/1.19</f>
        <v/>
      </c>
      <c r="D44" s="199">
        <f>'3A-Proiectii_fin_investitie'!E73/1.19</f>
        <v/>
      </c>
      <c r="E44" s="199">
        <f>'3A-Proiectii_fin_investitie'!F73/1.19</f>
        <v/>
      </c>
      <c r="F44" s="199">
        <f>'3A-Proiectii_fin_investitie'!G73/1.19</f>
        <v/>
      </c>
      <c r="G44" s="20" t="n"/>
      <c r="H44" s="20" t="n"/>
      <c r="I44" s="20" t="n"/>
      <c r="J44" s="20" t="n"/>
      <c r="K44" s="20" t="n"/>
      <c r="L44" s="20" t="n"/>
    </row>
    <row r="45">
      <c r="A45" s="29" t="n"/>
      <c r="B45" s="352" t="inlineStr">
        <is>
          <t>TVA aferentă veniturilor din vanzari marfuri</t>
        </is>
      </c>
      <c r="C45" s="199">
        <f>C44*0.19</f>
        <v/>
      </c>
      <c r="D45" s="199">
        <f>D44*0.19</f>
        <v/>
      </c>
      <c r="E45" s="199">
        <f>E44*0.19</f>
        <v/>
      </c>
      <c r="F45" s="199">
        <f>F44*0.19</f>
        <v/>
      </c>
      <c r="G45" s="20" t="n"/>
      <c r="H45" s="20" t="n"/>
      <c r="I45" s="20" t="n"/>
      <c r="J45" s="20" t="n"/>
      <c r="K45" s="20" t="n"/>
      <c r="L45" s="20" t="n"/>
    </row>
    <row r="46" ht="24" customHeight="1" s="350">
      <c r="A46" s="29" t="inlineStr">
        <is>
          <t>11.4.</t>
        </is>
      </c>
      <c r="B46" s="30" t="inlineStr">
        <is>
          <t>Venituri din subventii de exploatare aferente cifrei de afaceri nete</t>
        </is>
      </c>
      <c r="C46" s="351">
        <f>C47+C48</f>
        <v/>
      </c>
      <c r="D46" s="351">
        <f>D47+D48</f>
        <v/>
      </c>
      <c r="E46" s="351">
        <f>E47+E48</f>
        <v/>
      </c>
      <c r="F46" s="351">
        <f>F47+F48</f>
        <v/>
      </c>
      <c r="G46" s="20" t="n"/>
      <c r="H46" s="20" t="n"/>
      <c r="I46" s="20" t="n"/>
      <c r="J46" s="20" t="n"/>
      <c r="K46" s="20" t="n"/>
      <c r="L46" s="20" t="n"/>
    </row>
    <row r="47" ht="24" customHeight="1" s="350">
      <c r="A47" s="29" t="n"/>
      <c r="B47" s="352" t="inlineStr">
        <is>
          <t>Venituri din subventii de exploatare aferentă cifrei de afaceri nete (fără TVA)</t>
        </is>
      </c>
      <c r="C47" s="199">
        <f>'1B-ContPP'!C11</f>
        <v/>
      </c>
      <c r="D47" s="199" t="n">
        <v>0</v>
      </c>
      <c r="E47" s="199" t="n">
        <v>0</v>
      </c>
      <c r="F47" s="199" t="n">
        <v>0</v>
      </c>
      <c r="G47" s="20" t="n"/>
      <c r="H47" s="20" t="n"/>
      <c r="I47" s="20" t="n"/>
      <c r="J47" s="20" t="n"/>
      <c r="K47" s="20" t="n"/>
      <c r="L47" s="20" t="n"/>
    </row>
    <row r="48" ht="24" customHeight="1" s="350">
      <c r="A48" s="29" t="n"/>
      <c r="B48" s="352" t="inlineStr">
        <is>
          <t>TVA aferentă din subventii de exploatare aferentăe cifrei de afaceri nete</t>
        </is>
      </c>
      <c r="C48" s="199">
        <f>C47*0.19</f>
        <v/>
      </c>
      <c r="D48" s="199">
        <f>D47*0.19</f>
        <v/>
      </c>
      <c r="E48" s="199">
        <f>E47*0.19</f>
        <v/>
      </c>
      <c r="F48" s="199">
        <f>F47*0.19</f>
        <v/>
      </c>
      <c r="G48" s="20" t="n"/>
      <c r="H48" s="20" t="n"/>
      <c r="I48" s="20" t="n"/>
      <c r="J48" s="20" t="n"/>
      <c r="K48" s="20" t="n"/>
      <c r="L48" s="20" t="n"/>
    </row>
    <row r="49">
      <c r="A49" s="29" t="inlineStr">
        <is>
          <t>11.6.</t>
        </is>
      </c>
      <c r="B49" s="30" t="inlineStr">
        <is>
          <t>Venituri din alte activitati</t>
        </is>
      </c>
      <c r="C49" s="351">
        <f>C50+C51</f>
        <v/>
      </c>
      <c r="D49" s="351">
        <f>D50+D51</f>
        <v/>
      </c>
      <c r="E49" s="351">
        <f>E50+E51</f>
        <v/>
      </c>
      <c r="F49" s="351">
        <f>F50+F51</f>
        <v/>
      </c>
      <c r="G49" s="20" t="n"/>
      <c r="H49" s="20" t="n"/>
      <c r="I49" s="20" t="n"/>
      <c r="J49" s="20" t="n"/>
      <c r="K49" s="20" t="n"/>
      <c r="L49" s="20" t="n"/>
    </row>
    <row r="50">
      <c r="A50" s="29" t="n"/>
      <c r="B50" s="352" t="inlineStr">
        <is>
          <t>Venituri din alte activități (fără TVA)</t>
        </is>
      </c>
      <c r="C50" s="199" t="n">
        <v>0</v>
      </c>
      <c r="D50" s="199" t="n">
        <v>0</v>
      </c>
      <c r="E50" s="199" t="n">
        <v>0</v>
      </c>
      <c r="F50" s="199" t="n">
        <v>0</v>
      </c>
      <c r="G50" s="20" t="n"/>
      <c r="H50" s="20" t="n"/>
      <c r="I50" s="20" t="n"/>
      <c r="J50" s="20" t="n"/>
      <c r="K50" s="20" t="n"/>
      <c r="L50" s="20" t="n"/>
    </row>
    <row r="51">
      <c r="A51" s="29" t="n"/>
      <c r="B51" s="352" t="inlineStr">
        <is>
          <t>TVA aferentă veniturilor din alte activități</t>
        </is>
      </c>
      <c r="C51" s="199" t="n">
        <v>0</v>
      </c>
      <c r="D51" s="199" t="n">
        <v>0</v>
      </c>
      <c r="E51" s="199" t="n">
        <v>0</v>
      </c>
      <c r="F51" s="199" t="n">
        <v>0</v>
      </c>
      <c r="G51" s="20" t="n"/>
      <c r="H51" s="20" t="n"/>
      <c r="I51" s="20" t="n"/>
      <c r="J51" s="20" t="n"/>
      <c r="K51" s="20" t="n"/>
      <c r="L51" s="20" t="n"/>
    </row>
    <row r="52" customFormat="1" s="25">
      <c r="A52" s="26" t="inlineStr">
        <is>
          <t>11.9.</t>
        </is>
      </c>
      <c r="B52" s="30" t="inlineStr">
        <is>
          <t>Alte venituri din exploatare</t>
        </is>
      </c>
      <c r="C52" s="251">
        <f>C53+C54</f>
        <v/>
      </c>
      <c r="D52" s="251">
        <f>D53+D54</f>
        <v/>
      </c>
      <c r="E52" s="251">
        <f>E53+E54</f>
        <v/>
      </c>
      <c r="F52" s="251">
        <f>F53+F54</f>
        <v/>
      </c>
    </row>
    <row r="53">
      <c r="A53" s="5" t="n"/>
      <c r="B53" s="8" t="inlineStr">
        <is>
          <t>Alte venituri din exploatare (fără TVA)</t>
        </is>
      </c>
      <c r="C53" s="199">
        <f>'1B-ContPP'!C12 </f>
        <v/>
      </c>
      <c r="D53" s="199" t="n">
        <v>0</v>
      </c>
      <c r="E53" s="199" t="n">
        <v>0</v>
      </c>
      <c r="F53" s="199" t="n">
        <v>0</v>
      </c>
      <c r="G53" s="20" t="n"/>
      <c r="H53" s="20" t="n"/>
      <c r="I53" s="20" t="n"/>
      <c r="J53" s="20" t="n"/>
      <c r="K53" s="20" t="n"/>
      <c r="L53" s="20" t="n"/>
    </row>
    <row r="54">
      <c r="A54" s="5" t="n"/>
      <c r="B54" s="8" t="inlineStr">
        <is>
          <t>TVA aferentă altor venituri din exploatare</t>
        </is>
      </c>
      <c r="C54" s="199">
        <f>C53*0.19</f>
        <v/>
      </c>
      <c r="D54" s="199">
        <f>D53*0.19</f>
        <v/>
      </c>
      <c r="E54" s="199">
        <f>E53*0.19</f>
        <v/>
      </c>
      <c r="F54" s="199">
        <f>F53*0.19</f>
        <v/>
      </c>
      <c r="G54" s="20" t="n"/>
      <c r="H54" s="20" t="n"/>
      <c r="I54" s="20" t="n"/>
      <c r="J54" s="20" t="n"/>
      <c r="K54" s="20" t="n"/>
      <c r="L54" s="20" t="n"/>
    </row>
    <row r="55">
      <c r="A55" s="5" t="inlineStr">
        <is>
          <t>12.</t>
        </is>
      </c>
      <c r="B55" s="17" t="inlineStr">
        <is>
          <t>Venituri financiare</t>
        </is>
      </c>
      <c r="C55" s="204">
        <f>C56+C57+C58+C59</f>
        <v/>
      </c>
      <c r="D55" s="204">
        <f>D56+D57+D58+D59</f>
        <v/>
      </c>
      <c r="E55" s="204">
        <f>E56+E57+E58+E59</f>
        <v/>
      </c>
      <c r="F55" s="204">
        <f>F56+F57+F58+F59</f>
        <v/>
      </c>
      <c r="G55" s="20" t="n"/>
      <c r="H55" s="20" t="n"/>
      <c r="I55" s="20" t="n"/>
      <c r="J55" s="20" t="n"/>
      <c r="K55" s="20" t="n"/>
      <c r="L55" s="20" t="n"/>
    </row>
    <row r="56">
      <c r="A56" s="5" t="inlineStr">
        <is>
          <t>12.1.</t>
        </is>
      </c>
      <c r="B56" s="6" t="inlineStr">
        <is>
          <t>Venituri din interese de participare</t>
        </is>
      </c>
      <c r="C56" s="199">
        <f>'1B-ContPP'!C28</f>
        <v/>
      </c>
      <c r="D56" s="199" t="n">
        <v>0</v>
      </c>
      <c r="E56" s="199" t="n">
        <v>0</v>
      </c>
      <c r="F56" s="199" t="n">
        <v>0</v>
      </c>
      <c r="G56" s="20" t="n"/>
      <c r="H56" s="20" t="n"/>
      <c r="I56" s="20" t="n"/>
      <c r="J56" s="20" t="n"/>
      <c r="K56" s="20" t="n"/>
      <c r="L56" s="20" t="n"/>
    </row>
    <row r="57" ht="24" customHeight="1" s="350">
      <c r="A57" s="5" t="inlineStr">
        <is>
          <t>12.2.</t>
        </is>
      </c>
      <c r="B57" s="6" t="inlineStr">
        <is>
          <t>Venituri din investitii si imprumuturi care fac parte din activele imobilizate</t>
        </is>
      </c>
      <c r="C57" s="199">
        <f>'1B-ContPP'!C29 </f>
        <v/>
      </c>
      <c r="D57" s="199" t="n">
        <v>0</v>
      </c>
      <c r="E57" s="199" t="n">
        <v>0</v>
      </c>
      <c r="F57" s="199" t="n">
        <v>0</v>
      </c>
      <c r="G57" s="20" t="n"/>
      <c r="H57" s="20" t="n"/>
      <c r="I57" s="20" t="n"/>
      <c r="J57" s="20" t="n"/>
      <c r="K57" s="20" t="n"/>
      <c r="L57" s="20" t="n"/>
    </row>
    <row r="58">
      <c r="A58" s="5" t="inlineStr">
        <is>
          <t>12.3.</t>
        </is>
      </c>
      <c r="B58" s="6" t="inlineStr">
        <is>
          <t>Venituri din dobanzi</t>
        </is>
      </c>
      <c r="C58" s="199">
        <f>'1B-ContPP'!C51</f>
        <v/>
      </c>
      <c r="D58" s="199">
        <f>C58*1.1</f>
        <v/>
      </c>
      <c r="E58" s="199">
        <f>D58*1.1</f>
        <v/>
      </c>
      <c r="F58" s="199">
        <f>E58*1.1</f>
        <v/>
      </c>
      <c r="G58" s="20" t="n"/>
      <c r="H58" s="20" t="n"/>
      <c r="I58" s="20" t="n"/>
      <c r="J58" s="20" t="n"/>
      <c r="K58" s="20" t="n"/>
      <c r="L58" s="20" t="n"/>
    </row>
    <row r="59" ht="36" customHeight="1" s="350">
      <c r="A59" s="5" t="inlineStr">
        <is>
          <t>12.4.</t>
        </is>
      </c>
      <c r="B59" s="6" t="inlineStr">
        <is>
          <t>Alte venituri financiare (din diferente de curs valutar, din sconturi obtinute, din investitii financiare pe termen scurt, din investitii financiare cedate, alte venituri financiare)</t>
        </is>
      </c>
      <c r="C59" s="199">
        <f>'1B-ContPP'!D31*1.1</f>
        <v/>
      </c>
      <c r="D59" s="199">
        <f>C59*1.1</f>
        <v/>
      </c>
      <c r="E59" s="199">
        <f>D59*1.1</f>
        <v/>
      </c>
      <c r="F59" s="199">
        <f>E59*1.1</f>
        <v/>
      </c>
      <c r="G59" s="20" t="n"/>
      <c r="H59" s="20" t="n"/>
      <c r="I59" s="20" t="n"/>
      <c r="J59" s="20" t="n"/>
      <c r="K59" s="20" t="n"/>
      <c r="L59" s="20" t="n"/>
    </row>
    <row r="60" customFormat="1" s="25">
      <c r="A60" s="530" t="inlineStr">
        <is>
          <t>Total intrari de lichiditati din activitatea de exploatare</t>
        </is>
      </c>
      <c r="B60" s="553" t="n"/>
      <c r="C60" s="250">
        <f>C55+C36</f>
        <v/>
      </c>
      <c r="D60" s="250">
        <f>D55+D36</f>
        <v/>
      </c>
      <c r="E60" s="250">
        <f>E55+E36</f>
        <v/>
      </c>
      <c r="F60" s="250">
        <f>F55+F36</f>
        <v/>
      </c>
    </row>
    <row r="61">
      <c r="A61" s="5" t="n"/>
      <c r="B61" s="531" t="inlineStr">
        <is>
          <t>PLATI DIN ACTIVITATEA DE EXPLOATARE</t>
        </is>
      </c>
      <c r="C61" s="202" t="n"/>
      <c r="D61" s="202" t="n"/>
      <c r="E61" s="202" t="n"/>
      <c r="F61" s="202" t="n"/>
      <c r="G61" s="20" t="n"/>
      <c r="H61" s="20" t="n"/>
      <c r="I61" s="20" t="n"/>
      <c r="J61" s="20" t="n"/>
      <c r="K61" s="20" t="n"/>
      <c r="L61" s="20" t="n"/>
    </row>
    <row r="62">
      <c r="A62" s="5" t="n"/>
      <c r="B62" s="17" t="inlineStr">
        <is>
          <t>Cheltuieli din exploatare, incl TVA</t>
        </is>
      </c>
      <c r="C62" s="250">
        <f>C63+C66+C69+C72+C75+C76+C77</f>
        <v/>
      </c>
      <c r="D62" s="250">
        <f>D63+D66+D69+D72+D75+D76+D77</f>
        <v/>
      </c>
      <c r="E62" s="250">
        <f>E63+E66+E69+E72+E75+E76+E77</f>
        <v/>
      </c>
      <c r="F62" s="250">
        <f>F63+F66+F69+F72+F75+F76+F77</f>
        <v/>
      </c>
      <c r="G62" s="20" t="n"/>
      <c r="H62" s="20" t="n"/>
      <c r="I62" s="20" t="n"/>
      <c r="J62" s="20" t="n"/>
      <c r="K62" s="20" t="n"/>
      <c r="L62" s="20" t="n"/>
    </row>
    <row r="63" customFormat="1" s="25">
      <c r="A63" s="26" t="n">
        <v>13</v>
      </c>
      <c r="B63" s="27" t="inlineStr">
        <is>
          <t>Cheltuieli cu materiile prime si cu materialele consumabile</t>
        </is>
      </c>
      <c r="C63" s="251">
        <f>C64+C65</f>
        <v/>
      </c>
      <c r="D63" s="251">
        <f>D64+D65</f>
        <v/>
      </c>
      <c r="E63" s="251">
        <f>E64+E65</f>
        <v/>
      </c>
      <c r="F63" s="251">
        <f>F64+F65</f>
        <v/>
      </c>
    </row>
    <row r="64" ht="24" customHeight="1" s="350">
      <c r="A64" s="5" t="n"/>
      <c r="B64" s="6" t="inlineStr">
        <is>
          <t>Cheltuieli cu materiile prime si cu materialele consumabile (fără TVA)</t>
        </is>
      </c>
      <c r="C64" s="199">
        <f>'3A-Proiectii_fin_investitie'!D77/1.19</f>
        <v/>
      </c>
      <c r="D64" s="199">
        <f>'3A-Proiectii_fin_investitie'!E77/1.19</f>
        <v/>
      </c>
      <c r="E64" s="199">
        <f>'3A-Proiectii_fin_investitie'!F77/1.19</f>
        <v/>
      </c>
      <c r="F64" s="199">
        <f>'3A-Proiectii_fin_investitie'!G77/1.19</f>
        <v/>
      </c>
      <c r="G64" s="20" t="n"/>
      <c r="H64" s="258" t="n"/>
      <c r="I64" s="258" t="n"/>
      <c r="J64" s="20" t="n"/>
      <c r="K64" s="20" t="n"/>
      <c r="L64" s="20" t="n"/>
    </row>
    <row r="65" ht="24" customHeight="1" s="350">
      <c r="A65" s="5" t="n"/>
      <c r="B65" s="6" t="inlineStr">
        <is>
          <t>TVA aferentă cheltuielilor cu materiile prime si cu materialele consumabile (fără TVA)</t>
        </is>
      </c>
      <c r="C65" s="199">
        <f>C64*0.19</f>
        <v/>
      </c>
      <c r="D65" s="199">
        <f>D64*0.19</f>
        <v/>
      </c>
      <c r="E65" s="199">
        <f>E64*0.19</f>
        <v/>
      </c>
      <c r="F65" s="199">
        <f>F64*0.19</f>
        <v/>
      </c>
      <c r="G65" s="20" t="n"/>
      <c r="H65" s="20" t="n"/>
      <c r="I65" s="20" t="n"/>
      <c r="J65" s="20" t="n"/>
      <c r="K65" s="20" t="n"/>
      <c r="L65" s="20" t="n"/>
    </row>
    <row r="66" customFormat="1" s="25">
      <c r="A66" s="26" t="n">
        <v>14</v>
      </c>
      <c r="B66" s="27" t="inlineStr">
        <is>
          <t>Alte cheltuieli materiale</t>
        </is>
      </c>
      <c r="C66" s="251">
        <f>C67+C68</f>
        <v/>
      </c>
      <c r="D66" s="251">
        <f>D67+D68</f>
        <v/>
      </c>
      <c r="E66" s="251">
        <f>E67+E68</f>
        <v/>
      </c>
      <c r="F66" s="251">
        <f>F67+F68</f>
        <v/>
      </c>
    </row>
    <row r="67">
      <c r="A67" s="5" t="n"/>
      <c r="B67" s="6" t="inlineStr">
        <is>
          <t>Alte cheltuieli materiale  (fără TVA)</t>
        </is>
      </c>
      <c r="C67" s="199">
        <f>'3A-Proiectii_fin_investitie'!D85 / 1.19</f>
        <v/>
      </c>
      <c r="D67" s="199">
        <f>'3A-Proiectii_fin_investitie'!E85 / 1.19</f>
        <v/>
      </c>
      <c r="E67" s="199">
        <f>'3A-Proiectii_fin_investitie'!F85 / 1.19</f>
        <v/>
      </c>
      <c r="F67" s="199">
        <f>'3A-Proiectii_fin_investitie'!G85 / 1.19</f>
        <v/>
      </c>
      <c r="G67" s="20" t="n"/>
      <c r="H67" s="20" t="n"/>
      <c r="I67" s="20" t="n"/>
      <c r="J67" s="20" t="n"/>
      <c r="K67" s="20" t="n"/>
      <c r="L67" s="20" t="n"/>
    </row>
    <row r="68">
      <c r="A68" s="5" t="n"/>
      <c r="B68" s="6" t="inlineStr">
        <is>
          <t>TVA aferentă altor cheltuieli materiale</t>
        </is>
      </c>
      <c r="C68" s="199">
        <f>C67*0.19</f>
        <v/>
      </c>
      <c r="D68" s="199">
        <f>D67*0.19</f>
        <v/>
      </c>
      <c r="E68" s="199">
        <f>E67*0.19</f>
        <v/>
      </c>
      <c r="F68" s="199">
        <f>F67*0.19</f>
        <v/>
      </c>
      <c r="G68" s="20" t="n"/>
      <c r="H68" s="20" t="n"/>
      <c r="I68" s="20" t="n"/>
      <c r="J68" s="20" t="n"/>
      <c r="K68" s="20" t="n"/>
      <c r="L68" s="20" t="n"/>
    </row>
    <row r="69" customFormat="1" s="25">
      <c r="A69" s="26" t="n">
        <v>15</v>
      </c>
      <c r="B69" s="27" t="inlineStr">
        <is>
          <t>Alte cheltuieli externe (cu energia si apa)</t>
        </is>
      </c>
      <c r="C69" s="251">
        <f>C70+C71</f>
        <v/>
      </c>
      <c r="D69" s="251">
        <f>D70+D71</f>
        <v/>
      </c>
      <c r="E69" s="251">
        <f>E70+E71</f>
        <v/>
      </c>
      <c r="F69" s="251">
        <f>F70+F71</f>
        <v/>
      </c>
    </row>
    <row r="70">
      <c r="A70" s="5" t="n"/>
      <c r="B70" s="6" t="inlineStr">
        <is>
          <t>Alte cheltuieli externe (cu energia si apa) fără TVA</t>
        </is>
      </c>
      <c r="C70" s="199">
        <f>('3A-Proiectii_fin_investitie'!D86 +'3A-Proiectii_fin_investitie'!D89) /1.19 </f>
        <v/>
      </c>
      <c r="D70" s="199">
        <f>('3A-Proiectii_fin_investitie'!E86 +'3A-Proiectii_fin_investitie'!E89) /1.19 </f>
        <v/>
      </c>
      <c r="E70" s="199">
        <f>('3A-Proiectii_fin_investitie'!F86 +'3A-Proiectii_fin_investitie'!F89) /1.19 </f>
        <v/>
      </c>
      <c r="F70" s="199">
        <f>('3A-Proiectii_fin_investitie'!G86 +'3A-Proiectii_fin_investitie'!G89) /1.19 </f>
        <v/>
      </c>
      <c r="G70" s="20" t="n"/>
      <c r="H70" s="20" t="n"/>
      <c r="I70" s="20" t="n"/>
      <c r="J70" s="20" t="n"/>
      <c r="K70" s="20" t="n"/>
      <c r="L70" s="20" t="n"/>
    </row>
    <row r="71">
      <c r="A71" s="5" t="n"/>
      <c r="B71" s="6" t="inlineStr">
        <is>
          <t>TVA aferentă altor cheltuieli externe (cu energia si apa)</t>
        </is>
      </c>
      <c r="C71" s="199">
        <f>C70*0.19</f>
        <v/>
      </c>
      <c r="D71" s="199">
        <f>D70*0.19</f>
        <v/>
      </c>
      <c r="E71" s="199">
        <f>E70*0.19</f>
        <v/>
      </c>
      <c r="F71" s="199">
        <f>F70*0.19</f>
        <v/>
      </c>
      <c r="G71" s="20" t="n"/>
      <c r="H71" s="20" t="n"/>
      <c r="I71" s="20" t="n"/>
      <c r="J71" s="20" t="n"/>
      <c r="K71" s="20" t="n"/>
      <c r="L71" s="20" t="n"/>
    </row>
    <row r="72" customFormat="1" s="25">
      <c r="A72" s="26" t="n">
        <v>16</v>
      </c>
      <c r="B72" s="27" t="inlineStr">
        <is>
          <t xml:space="preserve">Cheltuieli privind marfurile </t>
        </is>
      </c>
      <c r="C72" s="251">
        <f>C73+C74</f>
        <v/>
      </c>
      <c r="D72" s="251">
        <f>D73+D74</f>
        <v/>
      </c>
      <c r="E72" s="251">
        <f>E73+E74</f>
        <v/>
      </c>
      <c r="F72" s="251">
        <f>F73+F74</f>
        <v/>
      </c>
    </row>
    <row r="73">
      <c r="A73" s="5" t="n"/>
      <c r="B73" s="6" t="inlineStr">
        <is>
          <t>Cheltuieli privind marfurile (fără TVA)</t>
        </is>
      </c>
      <c r="C73" s="199">
        <f> '3A-Proiectii_fin_investitie'!D82 /1.19</f>
        <v/>
      </c>
      <c r="D73" s="199">
        <f> '3A-Proiectii_fin_investitie'!E82 /1.19</f>
        <v/>
      </c>
      <c r="E73" s="199">
        <f> '3A-Proiectii_fin_investitie'!F82 /1.19</f>
        <v/>
      </c>
      <c r="F73" s="199">
        <f> '3A-Proiectii_fin_investitie'!G82 /1.19</f>
        <v/>
      </c>
      <c r="G73" s="20" t="n"/>
      <c r="H73" s="20" t="n"/>
      <c r="I73" s="20" t="n"/>
      <c r="J73" s="20" t="n"/>
      <c r="K73" s="20" t="n"/>
      <c r="L73" s="20" t="n"/>
    </row>
    <row r="74">
      <c r="A74" s="5" t="n"/>
      <c r="B74" s="6" t="inlineStr">
        <is>
          <t xml:space="preserve">TVA aferentă cheltuielilor privind marfurile </t>
        </is>
      </c>
      <c r="C74" s="199">
        <f>C73*0.19</f>
        <v/>
      </c>
      <c r="D74" s="199">
        <f>D73*0.19</f>
        <v/>
      </c>
      <c r="E74" s="199">
        <f>E73*0.19</f>
        <v/>
      </c>
      <c r="F74" s="199">
        <f>F73*0.19</f>
        <v/>
      </c>
      <c r="G74" s="20" t="n"/>
      <c r="H74" s="20" t="n"/>
      <c r="I74" s="20" t="n"/>
      <c r="J74" s="20" t="n"/>
      <c r="K74" s="20" t="n"/>
      <c r="L74" s="20" t="n"/>
    </row>
    <row r="75" customFormat="1" s="25">
      <c r="A75" s="26" t="n">
        <v>17</v>
      </c>
      <c r="B75" s="27" t="inlineStr">
        <is>
          <t>Salarii si indemnizatii</t>
        </is>
      </c>
      <c r="C75" s="199">
        <f>'3A-Proiectii_fin_investitie'!D101</f>
        <v/>
      </c>
      <c r="D75" s="199">
        <f>'3A-Proiectii_fin_investitie'!E101</f>
        <v/>
      </c>
      <c r="E75" s="199">
        <f>'3A-Proiectii_fin_investitie'!F101</f>
        <v/>
      </c>
      <c r="F75" s="199">
        <f>'3A-Proiectii_fin_investitie'!G101</f>
        <v/>
      </c>
    </row>
    <row r="76" customFormat="1" s="25">
      <c r="A76" s="26" t="n">
        <v>18</v>
      </c>
      <c r="B76" s="27" t="inlineStr">
        <is>
          <t xml:space="preserve">Cheltuieli cu asigurarile si protectia sociala </t>
        </is>
      </c>
      <c r="C76" s="199">
        <f>C75*2.25/100</f>
        <v/>
      </c>
      <c r="D76" s="199">
        <f>D75*2.25/100</f>
        <v/>
      </c>
      <c r="E76" s="199">
        <f>E75*2.25/100</f>
        <v/>
      </c>
      <c r="F76" s="199">
        <f>F75*2.25/100</f>
        <v/>
      </c>
    </row>
    <row r="77" ht="24" customFormat="1" customHeight="1" s="25">
      <c r="A77" s="26" t="n">
        <v>19</v>
      </c>
      <c r="B77" s="27" t="inlineStr">
        <is>
          <t>Alte cheltuieli de exploatare (prestatii externe, alte impozite, taxe si varsaminte asimilate, alte cheltuieli)</t>
        </is>
      </c>
      <c r="C77" s="251">
        <f>C78+C79</f>
        <v/>
      </c>
      <c r="D77" s="251">
        <f>D78+D79</f>
        <v/>
      </c>
      <c r="E77" s="251">
        <f>E78+E79</f>
        <v/>
      </c>
      <c r="F77" s="251">
        <f>F78+F79</f>
        <v/>
      </c>
    </row>
    <row r="78">
      <c r="A78" s="5" t="n"/>
      <c r="B78" s="6" t="inlineStr">
        <is>
          <t>Ate cheltuieli din exploatare (fără TVA)</t>
        </is>
      </c>
      <c r="C78" s="199">
        <f>'3A-Proiectii_fin_investitie'!D102 /1.19</f>
        <v/>
      </c>
      <c r="D78" s="199">
        <f>'3A-Proiectii_fin_investitie'!E102 /1.19</f>
        <v/>
      </c>
      <c r="E78" s="199">
        <f>'3A-Proiectii_fin_investitie'!F102 /1.19</f>
        <v/>
      </c>
      <c r="F78" s="199">
        <f>'3A-Proiectii_fin_investitie'!G102 /1.19</f>
        <v/>
      </c>
      <c r="G78" s="20" t="n"/>
      <c r="H78" s="20" t="n"/>
      <c r="I78" s="20" t="n"/>
      <c r="J78" s="20" t="n"/>
      <c r="K78" s="20" t="n"/>
      <c r="L78" s="20" t="n"/>
    </row>
    <row r="79">
      <c r="A79" s="5" t="n"/>
      <c r="B79" s="6" t="inlineStr">
        <is>
          <t>TVA aferentă altor cheltuieli din exploatare</t>
        </is>
      </c>
      <c r="C79" s="199">
        <f>C78*0.19</f>
        <v/>
      </c>
      <c r="D79" s="199" t="n">
        <v>0</v>
      </c>
      <c r="E79" s="199" t="n">
        <v>0</v>
      </c>
      <c r="F79" s="199" t="n">
        <v>0</v>
      </c>
      <c r="G79" s="20" t="n"/>
      <c r="H79" s="20" t="n"/>
      <c r="I79" s="20" t="n"/>
      <c r="J79" s="20" t="n"/>
      <c r="K79" s="20" t="n"/>
      <c r="L79" s="20" t="n"/>
    </row>
    <row r="80">
      <c r="A80" s="5" t="n"/>
      <c r="B80" s="531" t="inlineStr">
        <is>
          <t>Cheltuieli financiare</t>
        </is>
      </c>
      <c r="C80" s="250">
        <f>C81+C85</f>
        <v/>
      </c>
      <c r="D80" s="250">
        <f>D81+D85</f>
        <v/>
      </c>
      <c r="E80" s="250">
        <f>E81+E85</f>
        <v/>
      </c>
      <c r="F80" s="250">
        <f>F81+F85</f>
        <v/>
      </c>
      <c r="G80" s="20" t="n"/>
      <c r="H80" s="20" t="n"/>
      <c r="I80" s="20" t="n"/>
      <c r="J80" s="20" t="n"/>
      <c r="K80" s="20" t="n"/>
      <c r="L80" s="20" t="n"/>
    </row>
    <row r="81">
      <c r="A81" s="5" t="n">
        <v>20</v>
      </c>
      <c r="B81" s="27" t="inlineStr">
        <is>
          <t>Cheltuielile privind dobanzile</t>
        </is>
      </c>
      <c r="C81" s="250">
        <f>SUM(C82:C84)</f>
        <v/>
      </c>
      <c r="D81" s="250">
        <f>SUM(D82:D84)</f>
        <v/>
      </c>
      <c r="E81" s="250">
        <f>SUM(E82:E84)</f>
        <v/>
      </c>
      <c r="F81" s="250">
        <f>SUM(F82:F84)</f>
        <v/>
      </c>
      <c r="G81" s="20" t="n"/>
      <c r="H81" s="20" t="n"/>
      <c r="I81" s="20" t="n"/>
      <c r="J81" s="20" t="n"/>
      <c r="K81" s="20" t="n"/>
      <c r="L81" s="20" t="n"/>
    </row>
    <row r="82">
      <c r="A82" s="5" t="n"/>
      <c r="B82" s="8" t="inlineStr">
        <is>
          <t xml:space="preserve">     La imprumut - cofinantare la proiect</t>
        </is>
      </c>
      <c r="C82" s="199" t="n">
        <v>0</v>
      </c>
      <c r="D82" s="199" t="n">
        <v>0</v>
      </c>
      <c r="E82" s="199" t="n">
        <v>0</v>
      </c>
      <c r="F82" s="199" t="n">
        <v>0</v>
      </c>
      <c r="G82" s="20" t="n"/>
      <c r="H82" s="20" t="n"/>
      <c r="I82" s="20" t="n"/>
      <c r="J82" s="20" t="n"/>
      <c r="K82" s="20" t="n"/>
      <c r="L82" s="20" t="n"/>
    </row>
    <row r="83" ht="24" customHeight="1" s="350">
      <c r="A83" s="5" t="n"/>
      <c r="B83" s="8" t="inlineStr">
        <is>
          <t xml:space="preserve">     La alte credite pe termen mediu si lung, leasinguri, alte datorii financiare</t>
        </is>
      </c>
      <c r="C83" s="199">
        <f>'3A-Proiectii_fin_investitie'!D106 - C85</f>
        <v/>
      </c>
      <c r="D83" s="199">
        <f>'3A-Proiectii_fin_investitie'!D106 - D85</f>
        <v/>
      </c>
      <c r="E83" s="199">
        <f>'3A-Proiectii_fin_investitie'!E106 - E85</f>
        <v/>
      </c>
      <c r="F83" s="199">
        <f>'3A-Proiectii_fin_investitie'!F106 - F85</f>
        <v/>
      </c>
      <c r="G83" s="20" t="n"/>
      <c r="H83" s="20" t="n"/>
      <c r="I83" s="20" t="n"/>
      <c r="J83" s="20" t="n"/>
      <c r="K83" s="20" t="n"/>
      <c r="L83" s="20" t="n"/>
    </row>
    <row r="84">
      <c r="A84" s="5" t="n"/>
      <c r="B84" s="8" t="inlineStr">
        <is>
          <t xml:space="preserve">     La credite pe termen scurt</t>
        </is>
      </c>
      <c r="C84" s="199" t="n">
        <v>0</v>
      </c>
      <c r="D84" s="199" t="n">
        <v>0</v>
      </c>
      <c r="E84" s="199" t="n">
        <v>0</v>
      </c>
      <c r="F84" s="199" t="n">
        <v>0</v>
      </c>
      <c r="G84" s="20" t="n"/>
      <c r="H84" s="20" t="n"/>
      <c r="I84" s="20" t="n"/>
      <c r="J84" s="20" t="n"/>
      <c r="K84" s="20" t="n"/>
      <c r="L84" s="20" t="n"/>
    </row>
    <row r="85" ht="36" customFormat="1" customHeight="1" s="25">
      <c r="A85" s="26" t="n">
        <v>21</v>
      </c>
      <c r="B85" s="27" t="inlineStr">
        <is>
          <t>Alte cheltuieli financiare (pierderi din creante legate de participatii, din diferente de curs valutar, din sconturi obtinute, privind investitiile financiare cedate, alte cheltuieli financiare)</t>
        </is>
      </c>
      <c r="C85" s="199">
        <f>'1B-ContPP'!C35</f>
        <v/>
      </c>
      <c r="D85" s="199">
        <f>C85*0.01 +C85</f>
        <v/>
      </c>
      <c r="E85" s="199">
        <f>D85*0.01 +D85</f>
        <v/>
      </c>
      <c r="F85" s="199">
        <f>E85*0.01 +E85</f>
        <v/>
      </c>
    </row>
    <row r="86">
      <c r="A86" s="530" t="inlineStr">
        <is>
          <t>Total iesiri de lichiditati din activitatea de exploatare</t>
        </is>
      </c>
      <c r="B86" s="553" t="n"/>
      <c r="C86" s="250">
        <f>C62+C80</f>
        <v/>
      </c>
      <c r="D86" s="250">
        <f>D62+D80</f>
        <v/>
      </c>
      <c r="E86" s="250">
        <f>E62+E80</f>
        <v/>
      </c>
      <c r="F86" s="250">
        <f>F62+F80</f>
        <v/>
      </c>
      <c r="G86" s="20" t="n"/>
      <c r="H86" s="20" t="n"/>
      <c r="I86" s="20" t="n"/>
      <c r="J86" s="20" t="n"/>
      <c r="K86" s="20" t="n"/>
      <c r="L86" s="20" t="n"/>
    </row>
    <row r="87">
      <c r="A87" s="530" t="inlineStr">
        <is>
          <t>Flux de lichiditati brut din activitatea de  exploatare</t>
        </is>
      </c>
      <c r="B87" s="553" t="n"/>
      <c r="C87" s="250">
        <f>C60-C86</f>
        <v/>
      </c>
      <c r="D87" s="250">
        <f>D60-D86</f>
        <v/>
      </c>
      <c r="E87" s="250">
        <f>E60-E86</f>
        <v/>
      </c>
      <c r="F87" s="250">
        <f>F60-F86</f>
        <v/>
      </c>
      <c r="G87" s="20" t="n"/>
      <c r="H87" s="20" t="n"/>
      <c r="I87" s="20" t="n"/>
      <c r="J87" s="20" t="n"/>
      <c r="K87" s="20" t="n"/>
      <c r="L87" s="20" t="n"/>
    </row>
    <row r="88" ht="25.5" customHeight="1" s="350">
      <c r="A88" s="530" t="inlineStr">
        <is>
          <t>Flux de lichiditati total brut inainte de plati pentru impozit pe profit /cifra de afaceri si ajustare TVA</t>
        </is>
      </c>
      <c r="B88" s="553" t="n"/>
      <c r="C88" s="250">
        <f>C33+C87</f>
        <v/>
      </c>
      <c r="D88" s="250">
        <f>D33+D87</f>
        <v/>
      </c>
      <c r="E88" s="250">
        <f>E33+E87</f>
        <v/>
      </c>
      <c r="F88" s="250">
        <f>F33+F87</f>
        <v/>
      </c>
      <c r="G88" s="20" t="n"/>
      <c r="H88" s="20" t="n"/>
      <c r="I88" s="20" t="n"/>
      <c r="J88" s="20" t="n"/>
      <c r="K88" s="20" t="n"/>
      <c r="L88" s="20" t="n"/>
    </row>
    <row r="89">
      <c r="A89" s="5" t="n">
        <v>22</v>
      </c>
      <c r="B89" s="8" t="inlineStr">
        <is>
          <t>Plati TVA</t>
        </is>
      </c>
      <c r="C89" s="199">
        <f> C39 + C42 +C45 +C48 + C51+C54 - C28*19/119 - C65-C68-C71-C74-C79</f>
        <v/>
      </c>
      <c r="D89" s="199">
        <f>D39 + D42 +D45  + D51+D54 + D48 - D28*19/119 - D65-D68-D71-D74-D79</f>
        <v/>
      </c>
      <c r="E89" s="199">
        <f>E39 + E42 +E45  + E51+E54 + E48 - E28*19/119 - E65-E68-E71-E74-E79</f>
        <v/>
      </c>
      <c r="F89" s="199">
        <f>F39 + F42 +F45  + F51+F54 + F48 - F28*19/119 - F65-F68-F71-F74-F79</f>
        <v/>
      </c>
      <c r="G89" s="20" t="n"/>
      <c r="H89" s="20" t="n"/>
      <c r="I89" s="20" t="n"/>
      <c r="J89" s="20" t="n"/>
      <c r="K89" s="20" t="n"/>
      <c r="L89" s="20" t="n"/>
    </row>
    <row r="90">
      <c r="A90" s="5" t="n">
        <v>23</v>
      </c>
      <c r="B90" s="8" t="inlineStr">
        <is>
          <t>Rambursari TVA</t>
        </is>
      </c>
      <c r="C90" s="199" t="n">
        <v>0</v>
      </c>
      <c r="D90" s="199" t="n">
        <v>0</v>
      </c>
      <c r="E90" s="199" t="n">
        <v>0</v>
      </c>
      <c r="F90" s="199" t="n">
        <v>0</v>
      </c>
      <c r="G90" s="20" t="n"/>
      <c r="H90" s="20" t="n"/>
      <c r="I90" s="20" t="n"/>
      <c r="J90" s="20" t="n"/>
      <c r="K90" s="20" t="n"/>
      <c r="L90" s="20" t="n"/>
    </row>
    <row r="91">
      <c r="A91" s="5" t="n">
        <v>24</v>
      </c>
      <c r="B91" s="8" t="inlineStr">
        <is>
          <t>Impozit pe profit/cifra de afaceri</t>
        </is>
      </c>
      <c r="C91" s="199" t="n">
        <v>0</v>
      </c>
      <c r="D91" s="199" t="n">
        <v>0</v>
      </c>
      <c r="E91" s="199" t="n">
        <v>0</v>
      </c>
      <c r="F91" s="199" t="n">
        <v>0</v>
      </c>
      <c r="G91" s="20" t="n"/>
      <c r="H91" s="20" t="n"/>
      <c r="I91" s="20" t="n"/>
      <c r="J91" s="20" t="n"/>
      <c r="K91" s="20" t="n"/>
      <c r="L91" s="20" t="n"/>
    </row>
    <row r="92">
      <c r="A92" s="530" t="inlineStr">
        <is>
          <t xml:space="preserve">Plati/incasari pentru impozite si taxe  </t>
        </is>
      </c>
      <c r="B92" s="553" t="n"/>
      <c r="C92" s="250">
        <f>C89-C90+C91</f>
        <v/>
      </c>
      <c r="D92" s="250">
        <f>D89-D90+D91</f>
        <v/>
      </c>
      <c r="E92" s="250">
        <f>E89-E90+E91</f>
        <v/>
      </c>
      <c r="F92" s="250">
        <f>F89-F90+F91</f>
        <v/>
      </c>
      <c r="G92" s="20" t="n"/>
      <c r="H92" s="20" t="n"/>
      <c r="I92" s="20" t="n"/>
      <c r="J92" s="20" t="n"/>
      <c r="K92" s="20" t="n"/>
      <c r="L92" s="20" t="n"/>
    </row>
    <row r="93">
      <c r="A93" s="530" t="inlineStr">
        <is>
          <t>Flux de lichiditati din activitatea de investitii si finantare</t>
        </is>
      </c>
      <c r="B93" s="553" t="n"/>
      <c r="C93" s="250">
        <f>C33</f>
        <v/>
      </c>
      <c r="D93" s="250">
        <f>D33</f>
        <v/>
      </c>
      <c r="E93" s="250">
        <f>E33</f>
        <v/>
      </c>
      <c r="F93" s="250">
        <f>F33</f>
        <v/>
      </c>
      <c r="G93" s="20" t="n"/>
      <c r="H93" s="20" t="n"/>
      <c r="I93" s="20" t="n"/>
      <c r="J93" s="20" t="n"/>
      <c r="K93" s="20" t="n"/>
      <c r="L93" s="20" t="n"/>
    </row>
    <row r="94">
      <c r="A94" s="530" t="inlineStr">
        <is>
          <t xml:space="preserve">Flux de lichiditati net din activitatea de exploatare </t>
        </is>
      </c>
      <c r="B94" s="553" t="n"/>
      <c r="C94" s="250">
        <f>C87-C92</f>
        <v/>
      </c>
      <c r="D94" s="250">
        <f>D87-D92</f>
        <v/>
      </c>
      <c r="E94" s="250">
        <f>E87-E92</f>
        <v/>
      </c>
      <c r="F94" s="250">
        <f>F87-F92</f>
        <v/>
      </c>
      <c r="G94" s="20" t="n"/>
      <c r="H94" s="20" t="n"/>
      <c r="I94" s="20" t="n"/>
      <c r="J94" s="20" t="n"/>
      <c r="K94" s="20" t="n"/>
      <c r="L94" s="20" t="n"/>
    </row>
    <row r="95" ht="14.4" customHeight="1" s="350">
      <c r="A95" s="531" t="inlineStr">
        <is>
          <t>FLUX DE LICHIDITATI (CASH FLOW)</t>
        </is>
      </c>
      <c r="B95" s="552" t="n"/>
      <c r="C95" s="552" t="n"/>
      <c r="D95" s="552" t="n"/>
      <c r="E95" s="552" t="n"/>
      <c r="F95" s="553" t="n"/>
      <c r="G95" s="20" t="n"/>
      <c r="H95" s="20" t="n"/>
      <c r="I95" s="20" t="n"/>
      <c r="J95" s="20" t="n"/>
      <c r="K95" s="20" t="n"/>
      <c r="L95" s="20" t="n"/>
    </row>
    <row r="96">
      <c r="A96" s="530" t="inlineStr">
        <is>
          <t xml:space="preserve">Flux de lichiditati net al perioadei </t>
        </is>
      </c>
      <c r="B96" s="553" t="n"/>
      <c r="C96" s="250">
        <f>C93+C94</f>
        <v/>
      </c>
      <c r="D96" s="250">
        <f>D93+D94</f>
        <v/>
      </c>
      <c r="E96" s="250">
        <f>E93+E94</f>
        <v/>
      </c>
      <c r="F96" s="250">
        <f>F93+F94</f>
        <v/>
      </c>
      <c r="G96" s="20" t="n"/>
      <c r="H96" s="20" t="n"/>
      <c r="I96" s="20" t="n"/>
      <c r="J96" s="20" t="n"/>
      <c r="K96" s="20" t="n"/>
      <c r="L96" s="20" t="n"/>
    </row>
    <row r="97">
      <c r="A97" s="530" t="inlineStr">
        <is>
          <t xml:space="preserve">Disponibil de numerar la inceputul perioadei </t>
        </is>
      </c>
      <c r="B97" s="553" t="n"/>
      <c r="C97" s="250">
        <f>'1A-Bilant'!C28</f>
        <v/>
      </c>
      <c r="D97" s="250">
        <f>C98</f>
        <v/>
      </c>
      <c r="E97" s="250">
        <f>D98</f>
        <v/>
      </c>
      <c r="F97" s="250">
        <f>E98</f>
        <v/>
      </c>
      <c r="G97" s="20" t="n"/>
      <c r="H97" s="20" t="n"/>
      <c r="I97" s="20" t="n"/>
      <c r="J97" s="20" t="n"/>
      <c r="K97" s="20" t="n"/>
      <c r="L97" s="20" t="n"/>
    </row>
    <row r="98">
      <c r="A98" s="530" t="inlineStr">
        <is>
          <t xml:space="preserve">Disponibil de numerar la sfarsitul perioadei </t>
        </is>
      </c>
      <c r="B98" s="553" t="n"/>
      <c r="C98" s="250">
        <f>C97+C96</f>
        <v/>
      </c>
      <c r="D98" s="250">
        <f>D97+D96</f>
        <v/>
      </c>
      <c r="E98" s="250">
        <f>E97+E96</f>
        <v/>
      </c>
      <c r="F98" s="250">
        <f>F97+F96</f>
        <v/>
      </c>
      <c r="G98" s="20" t="n"/>
      <c r="H98" s="20" t="n"/>
      <c r="I98" s="20" t="n"/>
      <c r="J98" s="20" t="n"/>
      <c r="K98" s="20" t="n"/>
      <c r="L98" s="20" t="n"/>
    </row>
    <row r="102">
      <c r="A102" s="533" t="inlineStr">
        <is>
          <t>Tabel 2 - Proiectia Contului de profit si pierdere la nivelul intregii activitati a intreprinderii, pe perioada de implementare a proiectului</t>
        </is>
      </c>
    </row>
    <row r="103">
      <c r="A103" s="536" t="inlineStr">
        <is>
          <t>Nr. Crt.</t>
        </is>
      </c>
      <c r="B103" s="536" t="inlineStr">
        <is>
          <t>CATEGORIA</t>
        </is>
      </c>
      <c r="C103" s="532" t="inlineStr">
        <is>
          <t>Implementare si operare</t>
        </is>
      </c>
      <c r="D103" s="552" t="n"/>
      <c r="E103" s="552" t="n"/>
      <c r="F103" s="553" t="n"/>
      <c r="G103" s="20" t="n"/>
      <c r="H103" s="20" t="n"/>
      <c r="I103" s="20" t="n"/>
      <c r="J103" s="20" t="n"/>
      <c r="K103" s="20" t="n"/>
      <c r="L103" s="20" t="n"/>
    </row>
    <row r="104" ht="24" customHeight="1" s="350">
      <c r="A104" s="558" t="n"/>
      <c r="B104" s="558" t="n"/>
      <c r="C104" s="19" t="inlineStr">
        <is>
          <t>AN Implementare</t>
        </is>
      </c>
      <c r="D104" s="19" t="inlineStr">
        <is>
          <t>AN 1</t>
        </is>
      </c>
      <c r="E104" s="19" t="inlineStr">
        <is>
          <t>AN 2</t>
        </is>
      </c>
      <c r="F104" s="19" t="inlineStr">
        <is>
          <t>AN 3</t>
        </is>
      </c>
      <c r="G104" s="20" t="n"/>
      <c r="H104" s="20" t="n"/>
      <c r="I104" s="20" t="n"/>
      <c r="J104" s="20" t="n"/>
      <c r="K104" s="20" t="n"/>
      <c r="L104" s="20" t="n"/>
    </row>
    <row r="105" ht="14.4" customHeight="1" s="350">
      <c r="A105" s="571" t="inlineStr">
        <is>
          <t>VENITURI DIN EXPLOATARE</t>
        </is>
      </c>
      <c r="B105" s="552" t="n"/>
      <c r="C105" s="552" t="n"/>
      <c r="D105" s="552" t="n"/>
      <c r="E105" s="552" t="n"/>
      <c r="F105" s="553" t="n"/>
      <c r="G105" s="20" t="n"/>
      <c r="H105" s="20" t="n"/>
      <c r="I105" s="20" t="n"/>
      <c r="J105" s="20" t="n"/>
      <c r="K105" s="20" t="n"/>
      <c r="L105" s="20" t="n"/>
    </row>
    <row r="106">
      <c r="A106" s="4" t="n">
        <v>1</v>
      </c>
      <c r="B106" s="31" t="inlineStr">
        <is>
          <t xml:space="preserve">Cifra de afaceri </t>
        </is>
      </c>
      <c r="C106" s="252">
        <f>C38+C41+C44+C47+C50</f>
        <v/>
      </c>
      <c r="D106" s="252">
        <f>D38+D41+D44+D47+D50</f>
        <v/>
      </c>
      <c r="E106" s="252">
        <f>E38+E41+E44+E47+E50</f>
        <v/>
      </c>
      <c r="F106" s="252">
        <f>F38+F41+F44+F47+F50</f>
        <v/>
      </c>
      <c r="G106" s="20" t="n"/>
      <c r="H106" s="20" t="n"/>
      <c r="I106" s="20" t="n"/>
      <c r="J106" s="20" t="n"/>
      <c r="K106" s="20" t="n"/>
      <c r="L106" s="20" t="n"/>
    </row>
    <row r="107" ht="24" customHeight="1" s="350">
      <c r="A107" s="4" t="n">
        <v>2</v>
      </c>
      <c r="B107" s="31" t="inlineStr">
        <is>
          <t>Venituri aferente costului producției în curs de execuție (+ pentru C; - pentru D)</t>
        </is>
      </c>
      <c r="C107" s="392" t="n">
        <v>0</v>
      </c>
      <c r="D107" s="392" t="n">
        <v>0</v>
      </c>
      <c r="E107" s="392" t="n">
        <v>0</v>
      </c>
      <c r="F107" s="392" t="n">
        <v>0</v>
      </c>
      <c r="G107" s="20" t="n"/>
      <c r="H107" s="20" t="n"/>
      <c r="I107" s="20" t="n"/>
      <c r="J107" s="20" t="n"/>
      <c r="K107" s="20" t="n"/>
      <c r="L107" s="20" t="n"/>
    </row>
    <row r="108" ht="24" customHeight="1" s="350">
      <c r="A108" s="4" t="n">
        <v>3</v>
      </c>
      <c r="B108" s="31" t="inlineStr">
        <is>
          <t>Venituri  din productia realizata pentru scopuri proprii si capitalizata</t>
        </is>
      </c>
      <c r="C108" s="392" t="n">
        <v>0</v>
      </c>
      <c r="D108" s="392" t="n">
        <v>0</v>
      </c>
      <c r="E108" s="392" t="n">
        <v>0</v>
      </c>
      <c r="F108" s="392" t="n">
        <v>0</v>
      </c>
      <c r="G108" s="20" t="n"/>
      <c r="H108" s="20" t="n"/>
      <c r="I108" s="20" t="n"/>
      <c r="J108" s="20" t="n"/>
      <c r="K108" s="20" t="n"/>
      <c r="L108" s="20" t="n"/>
    </row>
    <row r="109" ht="24" customHeight="1" s="350">
      <c r="A109" s="4" t="n">
        <v>4</v>
      </c>
      <c r="B109" s="31" t="inlineStr">
        <is>
          <t>Alte venituri din exploatare (inclusiv veniturile din subventii pentru investitii)</t>
        </is>
      </c>
      <c r="C109" s="392">
        <f>C53</f>
        <v/>
      </c>
      <c r="D109" s="392">
        <f>D53</f>
        <v/>
      </c>
      <c r="E109" s="392">
        <f>E53</f>
        <v/>
      </c>
      <c r="F109" s="392">
        <f>F53</f>
        <v/>
      </c>
      <c r="G109" s="20" t="n"/>
      <c r="H109" s="20" t="n"/>
      <c r="I109" s="20" t="n"/>
      <c r="J109" s="20" t="n"/>
      <c r="K109" s="20" t="n"/>
      <c r="L109" s="20" t="n"/>
    </row>
    <row r="110">
      <c r="A110" s="545" t="inlineStr">
        <is>
          <t>Total venituri din exploatare</t>
        </is>
      </c>
      <c r="B110" s="553" t="n"/>
      <c r="C110" s="247">
        <f>SUM(C106:C109)</f>
        <v/>
      </c>
      <c r="D110" s="247">
        <f>SUM(D106:D109)</f>
        <v/>
      </c>
      <c r="E110" s="247">
        <f>SUM(E106:E109)</f>
        <v/>
      </c>
      <c r="F110" s="247">
        <f>SUM(F106:F109)</f>
        <v/>
      </c>
      <c r="G110" s="20" t="n"/>
      <c r="H110" s="20" t="n"/>
      <c r="I110" s="20" t="n"/>
      <c r="J110" s="20" t="n"/>
      <c r="K110" s="20" t="n"/>
      <c r="L110" s="20" t="n"/>
    </row>
    <row r="111" ht="14.4" customHeight="1" s="350">
      <c r="A111" s="35" t="inlineStr">
        <is>
          <t>CHELTUIELI DE EXPLOATARE</t>
        </is>
      </c>
      <c r="B111" s="552" t="n"/>
      <c r="C111" s="552" t="n"/>
      <c r="D111" s="552" t="n"/>
      <c r="E111" s="552" t="n"/>
      <c r="F111" s="553" t="n"/>
      <c r="G111" s="20" t="n"/>
      <c r="H111" s="20" t="n"/>
      <c r="I111" s="20" t="n"/>
      <c r="J111" s="20" t="n"/>
      <c r="K111" s="20" t="n"/>
      <c r="L111" s="20" t="n"/>
    </row>
    <row r="112">
      <c r="A112" s="4" t="n">
        <v>5</v>
      </c>
      <c r="B112" s="31" t="inlineStr">
        <is>
          <t xml:space="preserve">Cheltuieli materiale, materii prime, mărfuri – total </t>
        </is>
      </c>
      <c r="C112" s="253">
        <f>C64+C67+C73+C70</f>
        <v/>
      </c>
      <c r="D112" s="253">
        <f>D64+D67+D73+D70</f>
        <v/>
      </c>
      <c r="E112" s="253">
        <f>E64+E67+E73+E70</f>
        <v/>
      </c>
      <c r="F112" s="253">
        <f>F64+F67+F73+F70</f>
        <v/>
      </c>
      <c r="G112" s="20" t="n"/>
      <c r="H112" s="258" t="n"/>
      <c r="I112" s="20" t="n"/>
      <c r="J112" s="20" t="n"/>
      <c r="K112" s="20" t="n"/>
      <c r="L112" s="20" t="n"/>
    </row>
    <row r="113">
      <c r="A113" s="4" t="n">
        <v>6</v>
      </c>
      <c r="B113" s="31" t="inlineStr">
        <is>
          <t>Cheltuieli cu personalul – total</t>
        </is>
      </c>
      <c r="C113" s="253">
        <f>C75+C76</f>
        <v/>
      </c>
      <c r="D113" s="253">
        <f>D75+D76</f>
        <v/>
      </c>
      <c r="E113" s="253">
        <f>E75+E76</f>
        <v/>
      </c>
      <c r="F113" s="253">
        <f>F75+F76</f>
        <v/>
      </c>
      <c r="G113" s="20" t="n"/>
      <c r="H113" s="20" t="n"/>
      <c r="I113" s="20" t="n"/>
      <c r="J113" s="20" t="n"/>
      <c r="K113" s="20" t="n"/>
      <c r="L113" s="20" t="n"/>
    </row>
    <row r="114">
      <c r="A114" s="4" t="n">
        <v>7</v>
      </c>
      <c r="B114" s="31" t="inlineStr">
        <is>
          <t>Ajustari de valoare si provizioane, amortizare - total</t>
        </is>
      </c>
      <c r="C114" s="256" t="n">
        <v>0</v>
      </c>
      <c r="D114" s="256" t="n">
        <v>0</v>
      </c>
      <c r="E114" s="256" t="n">
        <v>0</v>
      </c>
      <c r="F114" s="256" t="n">
        <v>0</v>
      </c>
      <c r="G114" s="20" t="n"/>
      <c r="H114" s="20" t="n"/>
      <c r="I114" s="20" t="n"/>
      <c r="J114" s="20" t="n"/>
      <c r="K114" s="20" t="n"/>
      <c r="L114" s="20" t="n"/>
    </row>
    <row r="115" ht="24" customHeight="1" s="350">
      <c r="A115" s="4" t="n">
        <v>8</v>
      </c>
      <c r="B115" s="31" t="inlineStr">
        <is>
          <t>Alte cheltuieli de exploatare (prestatii externe, alte impozite, taxe si varsaminte asimilate, alte cheltuieli)</t>
        </is>
      </c>
      <c r="C115" s="253">
        <f>C78</f>
        <v/>
      </c>
      <c r="D115" s="253">
        <f>D78</f>
        <v/>
      </c>
      <c r="E115" s="253">
        <f>E78</f>
        <v/>
      </c>
      <c r="F115" s="253">
        <f>F78</f>
        <v/>
      </c>
      <c r="G115" s="20" t="n"/>
      <c r="H115" s="20" t="n"/>
      <c r="I115" s="20" t="n"/>
      <c r="J115" s="20" t="n"/>
      <c r="K115" s="20" t="n"/>
      <c r="L115" s="20" t="n"/>
    </row>
    <row r="116">
      <c r="A116" s="545" t="inlineStr">
        <is>
          <t>Total cheltuieli de exploatare</t>
        </is>
      </c>
      <c r="B116" s="553" t="n"/>
      <c r="C116" s="545">
        <f>SUM(C112:C115)</f>
        <v/>
      </c>
      <c r="D116" s="545">
        <f>SUM(D112:D115)</f>
        <v/>
      </c>
      <c r="E116" s="545">
        <f>SUM(E112:E115)</f>
        <v/>
      </c>
      <c r="F116" s="545">
        <f>SUM(F112:F115)</f>
        <v/>
      </c>
      <c r="G116" s="20" t="n"/>
      <c r="H116" s="20" t="n"/>
      <c r="I116" s="20" t="n"/>
      <c r="J116" s="20" t="n"/>
      <c r="K116" s="20" t="n"/>
      <c r="L116" s="20" t="n"/>
    </row>
    <row r="117">
      <c r="A117" s="545" t="inlineStr">
        <is>
          <t>Rezultatul din exploatare</t>
        </is>
      </c>
      <c r="B117" s="553" t="n"/>
      <c r="C117" s="545">
        <f>C110-C116</f>
        <v/>
      </c>
      <c r="D117" s="545">
        <f>D110-D116</f>
        <v/>
      </c>
      <c r="E117" s="545">
        <f>E110-E116</f>
        <v/>
      </c>
      <c r="F117" s="545">
        <f>F110-F116</f>
        <v/>
      </c>
      <c r="G117" s="20" t="n"/>
      <c r="H117" s="20" t="n"/>
      <c r="I117" s="20" t="n"/>
      <c r="J117" s="20" t="n"/>
      <c r="K117" s="20" t="n"/>
      <c r="L117" s="20" t="n"/>
    </row>
    <row r="118" ht="14.4" customHeight="1" s="350">
      <c r="A118" s="35" t="inlineStr">
        <is>
          <t>TOTAL VENITURI FINANCIARE</t>
        </is>
      </c>
      <c r="B118" s="552" t="n"/>
      <c r="C118" s="552" t="n"/>
      <c r="D118" s="552" t="n"/>
      <c r="E118" s="552" t="n"/>
      <c r="F118" s="553" t="n"/>
      <c r="G118" s="20" t="n"/>
      <c r="H118" s="20" t="n"/>
      <c r="I118" s="20" t="n"/>
      <c r="J118" s="20" t="n"/>
      <c r="K118" s="20" t="n"/>
      <c r="L118" s="20" t="n"/>
    </row>
    <row r="119">
      <c r="A119" s="545" t="inlineStr">
        <is>
          <t>Total venituri financiare</t>
        </is>
      </c>
      <c r="B119" s="553" t="n"/>
      <c r="C119" s="545">
        <f>C55</f>
        <v/>
      </c>
      <c r="D119" s="545">
        <f>D55</f>
        <v/>
      </c>
      <c r="E119" s="545">
        <f>E55</f>
        <v/>
      </c>
      <c r="F119" s="545">
        <f>F55</f>
        <v/>
      </c>
      <c r="G119" s="20" t="n"/>
      <c r="H119" s="20" t="n"/>
      <c r="I119" s="20" t="n"/>
      <c r="J119" s="20" t="n"/>
      <c r="K119" s="20" t="n"/>
      <c r="L119" s="20" t="n"/>
    </row>
    <row r="120" ht="14.4" customHeight="1" s="350">
      <c r="A120" s="35" t="inlineStr">
        <is>
          <t>CHELTUIELI FINANCIARE DIN CARE</t>
        </is>
      </c>
      <c r="B120" s="552" t="n"/>
      <c r="C120" s="552" t="n"/>
      <c r="D120" s="552" t="n"/>
      <c r="E120" s="552" t="n"/>
      <c r="F120" s="553" t="n"/>
      <c r="G120" s="20" t="n"/>
      <c r="H120" s="20" t="n"/>
      <c r="I120" s="20" t="n"/>
      <c r="J120" s="20" t="n"/>
      <c r="K120" s="20" t="n"/>
      <c r="L120" s="20" t="n"/>
    </row>
    <row r="121">
      <c r="A121" s="4" t="n">
        <v>9</v>
      </c>
      <c r="B121" s="31" t="inlineStr">
        <is>
          <t>Cheltuielile privind dobanzile</t>
        </is>
      </c>
      <c r="C121" s="253">
        <f>C122+C123+C124</f>
        <v/>
      </c>
      <c r="D121" s="253">
        <f>D122+D123+D124</f>
        <v/>
      </c>
      <c r="E121" s="253">
        <f>E122+E123+E124</f>
        <v/>
      </c>
      <c r="F121" s="253">
        <f>F122+F123+F124</f>
        <v/>
      </c>
      <c r="G121" s="20" t="n"/>
      <c r="H121" s="20" t="n"/>
      <c r="I121" s="20" t="n"/>
      <c r="J121" s="20" t="n"/>
      <c r="K121" s="20" t="n"/>
      <c r="L121" s="20" t="n"/>
    </row>
    <row r="122">
      <c r="A122" s="4" t="n"/>
      <c r="B122" s="92" t="inlineStr">
        <is>
          <t xml:space="preserve">     La imprumut - cofinantare la proiect</t>
        </is>
      </c>
      <c r="C122" s="254">
        <f>C82</f>
        <v/>
      </c>
      <c r="D122" s="254">
        <f>D82</f>
        <v/>
      </c>
      <c r="E122" s="254">
        <f>E82</f>
        <v/>
      </c>
      <c r="F122" s="254">
        <f>F82</f>
        <v/>
      </c>
      <c r="G122" s="20" t="n"/>
      <c r="H122" s="20" t="n"/>
      <c r="I122" s="20" t="n"/>
      <c r="J122" s="20" t="n"/>
      <c r="K122" s="20" t="n"/>
      <c r="L122" s="20" t="n"/>
    </row>
    <row r="123" ht="24" customHeight="1" s="350">
      <c r="A123" s="4" t="n"/>
      <c r="B123" s="92" t="inlineStr">
        <is>
          <t xml:space="preserve">     La alte credite pe termen mediu si lung, leasinguri, alte datorii financiare</t>
        </is>
      </c>
      <c r="C123" s="254">
        <f>C83</f>
        <v/>
      </c>
      <c r="D123" s="254">
        <f>D83</f>
        <v/>
      </c>
      <c r="E123" s="254">
        <f>E83</f>
        <v/>
      </c>
      <c r="F123" s="254">
        <f>F83</f>
        <v/>
      </c>
      <c r="G123" s="20" t="n"/>
      <c r="H123" s="20" t="n"/>
      <c r="I123" s="20" t="n"/>
      <c r="J123" s="20" t="n"/>
      <c r="K123" s="20" t="n"/>
      <c r="L123" s="20" t="n"/>
    </row>
    <row r="124">
      <c r="A124" s="4" t="n"/>
      <c r="B124" s="92" t="inlineStr">
        <is>
          <t xml:space="preserve">     La credite pe termen scurt</t>
        </is>
      </c>
      <c r="C124" s="254">
        <f>C84</f>
        <v/>
      </c>
      <c r="D124" s="254">
        <f>D84</f>
        <v/>
      </c>
      <c r="E124" s="254">
        <f>E84</f>
        <v/>
      </c>
      <c r="F124" s="254">
        <f>F84</f>
        <v/>
      </c>
      <c r="G124" s="20" t="n"/>
      <c r="H124" s="20" t="n"/>
      <c r="I124" s="20" t="n"/>
      <c r="J124" s="20" t="n"/>
      <c r="K124" s="20" t="n"/>
      <c r="L124" s="20" t="n"/>
    </row>
    <row r="125">
      <c r="A125" s="4" t="n">
        <v>10</v>
      </c>
      <c r="B125" s="31" t="inlineStr">
        <is>
          <t>Alte cheltuieli financiare</t>
        </is>
      </c>
      <c r="C125" s="254">
        <f>C85</f>
        <v/>
      </c>
      <c r="D125" s="254">
        <f>D85</f>
        <v/>
      </c>
      <c r="E125" s="254">
        <f>E85</f>
        <v/>
      </c>
      <c r="F125" s="254">
        <f>F85</f>
        <v/>
      </c>
      <c r="G125" s="20" t="n"/>
      <c r="H125" s="20" t="n"/>
      <c r="I125" s="20" t="n"/>
      <c r="J125" s="20" t="n"/>
      <c r="K125" s="20" t="n"/>
      <c r="L125" s="20" t="n"/>
    </row>
    <row r="126">
      <c r="A126" s="545" t="inlineStr">
        <is>
          <t xml:space="preserve">Total cheltuieli financiare </t>
        </is>
      </c>
      <c r="B126" s="553" t="n"/>
      <c r="C126" s="545">
        <f>C121+C125</f>
        <v/>
      </c>
      <c r="D126" s="545">
        <f>D121+D125</f>
        <v/>
      </c>
      <c r="E126" s="545">
        <f>E121+E125</f>
        <v/>
      </c>
      <c r="F126" s="545">
        <f>F121+F125</f>
        <v/>
      </c>
      <c r="G126" s="20" t="n"/>
      <c r="H126" s="20" t="n"/>
      <c r="I126" s="20" t="n"/>
      <c r="J126" s="20" t="n"/>
      <c r="K126" s="20" t="n"/>
      <c r="L126" s="20" t="n"/>
    </row>
    <row r="127">
      <c r="A127" s="545" t="inlineStr">
        <is>
          <t>Rezultatul financiar</t>
        </is>
      </c>
      <c r="B127" s="553" t="n"/>
      <c r="C127" s="545">
        <f>C119-C126</f>
        <v/>
      </c>
      <c r="D127" s="545">
        <f>D119-D126</f>
        <v/>
      </c>
      <c r="E127" s="545">
        <f>E119-E126</f>
        <v/>
      </c>
      <c r="F127" s="545">
        <f>F119-F126</f>
        <v/>
      </c>
      <c r="G127" s="20" t="n"/>
      <c r="H127" s="20" t="n"/>
      <c r="I127" s="20" t="n"/>
      <c r="J127" s="20" t="n"/>
      <c r="K127" s="20" t="n"/>
      <c r="L127" s="20" t="n"/>
    </row>
    <row r="128">
      <c r="A128" s="33" t="n"/>
      <c r="B128" s="545" t="inlineStr">
        <is>
          <t>Rezultat curent</t>
        </is>
      </c>
      <c r="C128" s="545">
        <f>C117+C127</f>
        <v/>
      </c>
      <c r="D128" s="545">
        <f>D117+D127</f>
        <v/>
      </c>
      <c r="E128" s="545">
        <f>E117+E127</f>
        <v/>
      </c>
      <c r="F128" s="545">
        <f>F117+F127</f>
        <v/>
      </c>
      <c r="G128" s="20" t="n"/>
      <c r="H128" s="20" t="n"/>
      <c r="I128" s="20" t="n"/>
      <c r="J128" s="20" t="n"/>
      <c r="K128" s="20" t="n"/>
      <c r="L128" s="20" t="n"/>
    </row>
    <row r="129">
      <c r="A129" s="369" t="n"/>
      <c r="B129" s="35" t="inlineStr">
        <is>
          <t>VENITURI TOTALE</t>
        </is>
      </c>
      <c r="C129" s="255">
        <f>C110+C119</f>
        <v/>
      </c>
      <c r="D129" s="255">
        <f>D110+D119</f>
        <v/>
      </c>
      <c r="E129" s="255">
        <f>E110+E119</f>
        <v/>
      </c>
      <c r="F129" s="255">
        <f>F110+F119</f>
        <v/>
      </c>
      <c r="G129" s="20" t="n"/>
      <c r="H129" s="20" t="n"/>
      <c r="I129" s="20" t="n"/>
      <c r="J129" s="20" t="n"/>
      <c r="K129" s="20" t="n"/>
      <c r="L129" s="20" t="n"/>
    </row>
    <row r="130">
      <c r="A130" s="369" t="n"/>
      <c r="B130" s="36" t="inlineStr">
        <is>
          <t>CHELTUIELI TOTALE</t>
        </is>
      </c>
      <c r="C130" s="255">
        <f>C116+C126</f>
        <v/>
      </c>
      <c r="D130" s="255">
        <f>D116+D126</f>
        <v/>
      </c>
      <c r="E130" s="255">
        <f>E116+E126</f>
        <v/>
      </c>
      <c r="F130" s="255">
        <f>F116+F126</f>
        <v/>
      </c>
      <c r="G130" s="20" t="n"/>
      <c r="H130" s="20" t="n"/>
      <c r="I130" s="20" t="n"/>
      <c r="J130" s="20" t="n"/>
      <c r="K130" s="20" t="n"/>
      <c r="L130" s="20" t="n"/>
    </row>
    <row r="131">
      <c r="A131" s="545" t="inlineStr">
        <is>
          <t>REZULTATUL BRUT AL EXERCIŢIULUI FINANCIAR</t>
        </is>
      </c>
      <c r="B131" s="553" t="n"/>
      <c r="C131" s="545">
        <f>C129-C130</f>
        <v/>
      </c>
      <c r="D131" s="545">
        <f>D129-D130</f>
        <v/>
      </c>
      <c r="E131" s="545">
        <f>E129-E130</f>
        <v/>
      </c>
      <c r="F131" s="545">
        <f>F129-F130</f>
        <v/>
      </c>
      <c r="G131" s="20" t="n"/>
      <c r="H131" s="20" t="n"/>
      <c r="I131" s="20" t="n"/>
      <c r="J131" s="20" t="n"/>
      <c r="K131" s="20" t="n"/>
      <c r="L131" s="20" t="n"/>
    </row>
    <row r="132">
      <c r="A132" s="4" t="n">
        <v>13</v>
      </c>
      <c r="B132" s="31" t="inlineStr">
        <is>
          <t>Impozit *</t>
        </is>
      </c>
      <c r="C132" s="199">
        <f>C106*0.01</f>
        <v/>
      </c>
      <c r="D132" s="199">
        <f>D106*0.01</f>
        <v/>
      </c>
      <c r="E132" s="199">
        <f>E106*0.01</f>
        <v/>
      </c>
      <c r="F132" s="199">
        <f>F106*0.01</f>
        <v/>
      </c>
      <c r="G132" s="20" t="n"/>
      <c r="H132" s="20" t="n"/>
      <c r="I132" s="20" t="n"/>
      <c r="J132" s="20" t="n"/>
      <c r="K132" s="20" t="n"/>
      <c r="L132" s="20" t="n"/>
    </row>
    <row r="133">
      <c r="A133" s="545" t="inlineStr">
        <is>
          <t>REZULTATUL NET AL EXERCIŢIULUI FINANCIAR</t>
        </is>
      </c>
      <c r="B133" s="553" t="n"/>
      <c r="C133" s="545">
        <f>C131-C132</f>
        <v/>
      </c>
      <c r="D133" s="545">
        <f>D131-D132</f>
        <v/>
      </c>
      <c r="E133" s="545">
        <f>E131-E132</f>
        <v/>
      </c>
      <c r="F133" s="545">
        <f>F131-F132</f>
        <v/>
      </c>
      <c r="G133" s="20" t="n"/>
      <c r="H133" s="20" t="n"/>
      <c r="I133" s="20" t="n"/>
      <c r="J133" s="20" t="n"/>
      <c r="K133" s="20" t="n"/>
      <c r="L133" s="20" t="n"/>
    </row>
    <row r="134" ht="24" customHeight="1" s="350">
      <c r="B134" s="368" t="inlineStr">
        <is>
          <t>* in cazul microintreprinderilor, se va calcula impozitul pe profit sau impozitul pe cifra de afaceri, dupa cum este cazul</t>
        </is>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dataValidations count="1">
    <dataValidation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showErrorMessage="1" showInputMessage="1" allowBlank="0" errorStyle="information"/>
  </dataValidations>
  <pageMargins left="0.4583333333333333" right="0.4583333333333333" top="0.7480314960629921" bottom="0.7480314960629921" header="0.3149606299212598" footer="0.3149606299212598"/>
  <pageSetup orientation="landscape" paperSize="9" fitToHeight="0" blackAndWhite="1" horizontalDpi="300" verticalDpi="300"/>
  <rowBreaks count="1" manualBreakCount="1">
    <brk id="101" min="0" max="16383" man="1"/>
  </rowBreaks>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8"/>
  <sheetData/>
  <pageMargins left="0.7" right="0.7" top="0.75" bottom="0.75" header="0.3" footer="0.3"/>
  <pageSetup orientation="portrait"/>
</worksheet>
</file>

<file path=xl/worksheets/sheet2.xml><?xml version="1.0" encoding="utf-8"?>
<worksheet xmlns="http://schemas.openxmlformats.org/spreadsheetml/2006/main">
  <sheetPr>
    <tabColor rgb="FF00B0F0"/>
    <outlinePr summaryBelow="1" summaryRight="1"/>
    <pageSetUpPr/>
  </sheetPr>
  <dimension ref="A1:D58"/>
  <sheetViews>
    <sheetView topLeftCell="A43" workbookViewId="0">
      <selection activeCell="G55" sqref="G55"/>
    </sheetView>
  </sheetViews>
  <sheetFormatPr baseColWidth="8" defaultColWidth="9.109375" defaultRowHeight="13.8"/>
  <cols>
    <col width="64.5546875" customWidth="1" style="175" min="1" max="1"/>
    <col width="12.88671875" customWidth="1" style="55" min="2" max="4"/>
    <col width="9.109375" customWidth="1" style="405" min="5" max="16384"/>
  </cols>
  <sheetData>
    <row r="1" ht="14.4" customFormat="1" customHeight="1" s="65">
      <c r="A1" s="434" t="inlineStr">
        <is>
          <t>1B - Contul de profit și pierdere</t>
        </is>
      </c>
      <c r="B1" s="39" t="n"/>
      <c r="C1" s="39" t="n"/>
      <c r="D1" s="39" t="n"/>
    </row>
    <row r="2" customFormat="1" s="65">
      <c r="A2" s="42" t="n"/>
      <c r="B2" s="39" t="n"/>
      <c r="C2" s="39" t="n"/>
      <c r="D2" s="39" t="n"/>
    </row>
    <row r="3" ht="38.25" customFormat="1" customHeight="1" s="65">
      <c r="A3" s="433" t="inlineStr">
        <is>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row>
    <row r="4" customFormat="1" s="65">
      <c r="A4" s="295" t="n"/>
      <c r="B4" s="295" t="n"/>
      <c r="C4" s="295" t="n"/>
      <c r="D4" s="295" t="n"/>
    </row>
    <row r="5" customFormat="1" s="113">
      <c r="A5" s="373" t="n"/>
      <c r="B5" s="423">
        <f>'1A-Bilant'!B5</f>
        <v/>
      </c>
      <c r="C5" s="423">
        <f>'1A-Bilant'!C5</f>
        <v/>
      </c>
      <c r="D5" s="365">
        <f>'1A-Bilant'!D5</f>
        <v/>
      </c>
    </row>
    <row r="6">
      <c r="A6" s="421" t="inlineStr">
        <is>
          <t>Cifra de afaceri neta</t>
        </is>
      </c>
      <c r="B6" s="412" t="n">
        <v>3530610</v>
      </c>
      <c r="C6" s="412" t="n">
        <v>3492502</v>
      </c>
      <c r="D6" s="422" t="n"/>
    </row>
    <row r="7">
      <c r="A7" s="117" t="inlineStr">
        <is>
          <t>Venituri aferente costului producției în curs de execuție (+ pentru C; - pentru D)</t>
        </is>
      </c>
      <c r="B7" s="424" t="n">
        <v>0</v>
      </c>
      <c r="C7" s="424" t="n">
        <v>0</v>
      </c>
      <c r="D7" s="69" t="n">
        <v>0</v>
      </c>
    </row>
    <row r="8">
      <c r="A8" s="117" t="inlineStr">
        <is>
          <t>Venituri  din productia de imobilizări necorporale și corporale</t>
        </is>
      </c>
      <c r="B8" s="69" t="n">
        <v>0</v>
      </c>
      <c r="C8" s="69" t="n">
        <v>0</v>
      </c>
      <c r="D8" s="69" t="n">
        <v>0</v>
      </c>
    </row>
    <row r="9">
      <c r="A9" s="117" t="inlineStr">
        <is>
          <t>Venituri din reevaluarea imobilizărilor corporale</t>
        </is>
      </c>
      <c r="B9" s="69" t="n">
        <v>0</v>
      </c>
      <c r="C9" s="69" t="n">
        <v>0</v>
      </c>
      <c r="D9" s="69" t="n">
        <v>0</v>
      </c>
    </row>
    <row r="10">
      <c r="A10" s="117" t="inlineStr">
        <is>
          <t>Venituri din producția de investiții imobiliare</t>
        </is>
      </c>
      <c r="B10" s="69" t="n">
        <v>0</v>
      </c>
      <c r="C10" s="69" t="n">
        <v>0</v>
      </c>
      <c r="D10" s="69" t="n">
        <v>0</v>
      </c>
    </row>
    <row r="11">
      <c r="A11" s="117" t="inlineStr">
        <is>
          <t>Venituri din subvenții de exploatare</t>
        </is>
      </c>
      <c r="B11" s="425" t="n">
        <v>0</v>
      </c>
      <c r="C11" s="425" t="n">
        <v>0</v>
      </c>
      <c r="D11" s="69" t="n">
        <v>0</v>
      </c>
    </row>
    <row r="12">
      <c r="A12" s="421" t="inlineStr">
        <is>
          <t>Alte venituri din exploatare</t>
        </is>
      </c>
      <c r="B12" s="412" t="n">
        <v>18220</v>
      </c>
      <c r="C12" s="412" t="n">
        <v>8600</v>
      </c>
      <c r="D12" s="422" t="n">
        <v>0</v>
      </c>
    </row>
    <row r="13" customFormat="1" s="113">
      <c r="A13" s="373" t="inlineStr">
        <is>
          <t>Venituri din exploatare - total</t>
        </is>
      </c>
      <c r="B13" s="427">
        <f>SUM(B6:B12)</f>
        <v/>
      </c>
      <c r="C13" s="427">
        <f>SUM(C6:C12)</f>
        <v/>
      </c>
      <c r="D13" s="57">
        <f>SUM(D6:D12)</f>
        <v/>
      </c>
    </row>
    <row r="14" customFormat="1" s="113">
      <c r="A14" s="421" t="inlineStr">
        <is>
          <t xml:space="preserve">Cheltuieli cu materiile prime şi materialele consumabile </t>
        </is>
      </c>
      <c r="B14" s="412" t="n">
        <v>198961</v>
      </c>
      <c r="C14" s="412" t="n">
        <v>162797</v>
      </c>
      <c r="D14" s="422" t="n"/>
    </row>
    <row r="15" customFormat="1" s="113">
      <c r="A15" s="421" t="inlineStr">
        <is>
          <t>Alte cheltuieli materiale</t>
        </is>
      </c>
      <c r="B15" s="412" t="n">
        <v>33715</v>
      </c>
      <c r="C15" s="412" t="n">
        <v>22392</v>
      </c>
      <c r="D15" s="422" t="n"/>
    </row>
    <row r="16" customFormat="1" s="113">
      <c r="A16" s="421" t="inlineStr">
        <is>
          <t>Alte cheltuieli externe (cu energie şi apă)</t>
        </is>
      </c>
      <c r="B16" s="412" t="n">
        <v>70588</v>
      </c>
      <c r="C16" s="412" t="n">
        <v>102830</v>
      </c>
      <c r="D16" s="422" t="n">
        <v>0</v>
      </c>
    </row>
    <row r="17" customFormat="1" s="113">
      <c r="A17" s="421" t="inlineStr">
        <is>
          <t xml:space="preserve">Cheltuieli privind mărfurile </t>
        </is>
      </c>
      <c r="B17" s="412" t="n">
        <v>1308964</v>
      </c>
      <c r="C17" s="412" t="n">
        <v>1310317</v>
      </c>
      <c r="D17" s="422" t="n">
        <v>0</v>
      </c>
    </row>
    <row r="18" ht="14.4" customFormat="1" customHeight="1" s="113">
      <c r="A18" s="421" t="inlineStr">
        <is>
          <t>Reduceri comerciale primite</t>
        </is>
      </c>
      <c r="B18" s="428" t="n"/>
      <c r="C18" s="412" t="n">
        <v>-3537</v>
      </c>
      <c r="D18" s="422" t="n">
        <v>0</v>
      </c>
    </row>
    <row r="19" customFormat="1" s="113">
      <c r="A19" s="429" t="inlineStr">
        <is>
          <t>Cheltuieli cu personalul</t>
        </is>
      </c>
      <c r="B19" s="430" t="n">
        <v>834328</v>
      </c>
      <c r="C19" s="430" t="n">
        <v>1095618</v>
      </c>
      <c r="D19" s="422" t="n"/>
    </row>
    <row r="20" customFormat="1" s="113">
      <c r="A20" s="421" t="inlineStr">
        <is>
          <t>Ajustări de valoare privind imobilizările corporale şi necorporale</t>
        </is>
      </c>
      <c r="B20" s="412" t="n">
        <v>147287</v>
      </c>
      <c r="C20" s="412" t="n">
        <v>203787</v>
      </c>
      <c r="D20" s="422" t="n"/>
    </row>
    <row r="21" customFormat="1" s="113">
      <c r="A21" s="173" t="inlineStr">
        <is>
          <t xml:space="preserve">Ajustări de valoare privind activele circulante </t>
        </is>
      </c>
      <c r="B21" s="431" t="n">
        <v>0</v>
      </c>
      <c r="C21" s="431" t="n">
        <v>0</v>
      </c>
      <c r="D21" s="69" t="n">
        <v>0</v>
      </c>
    </row>
    <row r="22" customFormat="1" s="113">
      <c r="A22" s="429" t="inlineStr">
        <is>
          <t xml:space="preserve">Alte cheltuieli de exploatare </t>
        </is>
      </c>
      <c r="B22" s="412" t="n">
        <v>419026</v>
      </c>
      <c r="C22" s="412" t="n">
        <v>463143</v>
      </c>
      <c r="D22" s="422" t="n"/>
    </row>
    <row r="23" customFormat="1" s="113">
      <c r="A23" s="173" t="inlineStr">
        <is>
          <t xml:space="preserve">Ajustări privind provizioanele  </t>
        </is>
      </c>
      <c r="B23" s="424" t="n">
        <v>0</v>
      </c>
      <c r="C23" s="424" t="n">
        <v>0</v>
      </c>
      <c r="D23" s="69" t="n">
        <v>0</v>
      </c>
    </row>
    <row r="24" customFormat="1" s="113">
      <c r="A24" s="373" t="inlineStr">
        <is>
          <t>Cheltuieli din exploatare - total</t>
        </is>
      </c>
      <c r="B24" s="57">
        <f>B14+B15+B16+B17-B18+B19+B20+B21+B22+B23</f>
        <v/>
      </c>
      <c r="C24" s="57">
        <f>C14+C15+C16+C17-C18+C19+C20+C21+C22+C23</f>
        <v/>
      </c>
      <c r="D24" s="57">
        <f>D14+D15+D16+D17-D18+D19+D20+D21+D22+D23</f>
        <v/>
      </c>
    </row>
    <row r="25" customFormat="1" s="113">
      <c r="A25" s="373" t="inlineStr">
        <is>
          <t>Rezultatul din exploatare</t>
        </is>
      </c>
      <c r="B25" s="57">
        <f>B13-B24</f>
        <v/>
      </c>
      <c r="C25" s="57">
        <f>C13-C24</f>
        <v/>
      </c>
      <c r="D25" s="57">
        <f>D13-D24</f>
        <v/>
      </c>
    </row>
    <row r="26" customFormat="1" s="405">
      <c r="A26" s="117" t="inlineStr">
        <is>
          <t>Rezultatul din exploatare Profit</t>
        </is>
      </c>
      <c r="B26" s="70">
        <f>IF(B13-B24&gt;0,B13-B24,"")</f>
        <v/>
      </c>
      <c r="C26" s="70">
        <f>IF(C13-C24&gt;0,C13-C24,"")</f>
        <v/>
      </c>
      <c r="D26" s="70">
        <f>IF(D13-D24&gt;0,D13-D24,"")</f>
        <v/>
      </c>
    </row>
    <row r="27" customFormat="1" s="405">
      <c r="A27" s="117" t="inlineStr">
        <is>
          <t>Rezultatul din exploatare Pierdere</t>
        </is>
      </c>
      <c r="B27" s="70">
        <f>IF(B13-B24&lt;0,-B13+B24,"")</f>
        <v/>
      </c>
      <c r="C27" s="70">
        <f>IF(C13-C24&lt;0,-C13+C24,"")</f>
        <v/>
      </c>
      <c r="D27" s="70">
        <f>IF(D13-D24&lt;0,-D13+D24,"")</f>
        <v/>
      </c>
    </row>
    <row r="28" customFormat="1" s="405">
      <c r="A28" s="117" t="inlineStr">
        <is>
          <t>Venituri din interese de participare</t>
        </is>
      </c>
      <c r="B28" s="425" t="n">
        <v>0</v>
      </c>
      <c r="C28" s="425" t="n">
        <v>0</v>
      </c>
      <c r="D28" s="69" t="n">
        <v>0</v>
      </c>
    </row>
    <row r="29" customFormat="1" s="405">
      <c r="A29" s="421" t="inlineStr">
        <is>
          <t>Venituri din dobânzi</t>
        </is>
      </c>
      <c r="B29" s="412" t="n">
        <v>3</v>
      </c>
      <c r="C29" s="412" t="n">
        <v>30</v>
      </c>
      <c r="D29" s="422" t="n"/>
    </row>
    <row r="30" customFormat="1" s="405">
      <c r="A30" s="117" t="inlineStr">
        <is>
          <t>Venituri din subvenţii de exploatare pentru dobânda datorată</t>
        </is>
      </c>
      <c r="B30" s="431" t="n">
        <v>0</v>
      </c>
      <c r="C30" s="431" t="n">
        <v>0</v>
      </c>
      <c r="D30" s="69" t="n">
        <v>0</v>
      </c>
    </row>
    <row r="31" customFormat="1" s="405">
      <c r="A31" s="421" t="inlineStr">
        <is>
          <t>Alte venituri financiare</t>
        </is>
      </c>
      <c r="B31" s="412" t="n">
        <v>19449</v>
      </c>
      <c r="C31" s="412" t="n">
        <v>9933</v>
      </c>
      <c r="D31" s="422" t="n"/>
    </row>
    <row r="32">
      <c r="A32" s="373" t="inlineStr">
        <is>
          <t>Venituri financiare</t>
        </is>
      </c>
      <c r="B32" s="432">
        <f>B31+B30+B29+B28</f>
        <v/>
      </c>
      <c r="C32" s="432">
        <f>C31+C30+C29+C28</f>
        <v/>
      </c>
      <c r="D32" s="272">
        <f>D31+D30+D29+D28</f>
        <v/>
      </c>
    </row>
    <row r="33" ht="27.6" customHeight="1" s="350">
      <c r="A33" s="173" t="inlineStr">
        <is>
          <t>Ajustări de valoare privind imobilizările financiare şi investiţiile financiare deţinute ca active circulante</t>
        </is>
      </c>
      <c r="B33" s="425" t="n">
        <v>0</v>
      </c>
      <c r="C33" s="425" t="n">
        <v>0</v>
      </c>
      <c r="D33" s="69" t="n">
        <v>0</v>
      </c>
    </row>
    <row r="34">
      <c r="A34" s="429" t="inlineStr">
        <is>
          <t xml:space="preserve">Cheltuieli privind dobânzile </t>
        </is>
      </c>
      <c r="B34" s="430" t="n">
        <v>29166</v>
      </c>
      <c r="C34" s="430" t="n">
        <v>39758</v>
      </c>
      <c r="D34" s="422" t="n"/>
    </row>
    <row r="35">
      <c r="A35" s="429" t="inlineStr">
        <is>
          <t xml:space="preserve">Alte cheltuieli financiare  </t>
        </is>
      </c>
      <c r="B35" s="412" t="n">
        <v>-767</v>
      </c>
      <c r="C35" s="412" t="n">
        <v>3822</v>
      </c>
      <c r="D35" s="422" t="n"/>
    </row>
    <row r="36" customFormat="1" s="113">
      <c r="A36" s="373" t="inlineStr">
        <is>
          <t>Cheltuieli financiare</t>
        </is>
      </c>
      <c r="B36" s="426">
        <f>SUM(B33:B35)</f>
        <v/>
      </c>
      <c r="C36" s="426">
        <f>SUM(C33:C35)</f>
        <v/>
      </c>
      <c r="D36" s="57">
        <f>SUM(D33:D35)</f>
        <v/>
      </c>
    </row>
    <row r="37" customFormat="1" s="113">
      <c r="A37" s="373" t="inlineStr">
        <is>
          <t>Rezultatul financiar</t>
        </is>
      </c>
      <c r="B37" s="57">
        <f>B32-B36</f>
        <v/>
      </c>
      <c r="C37" s="57">
        <f>C32-C36</f>
        <v/>
      </c>
      <c r="D37" s="57">
        <f>D32-D36</f>
        <v/>
      </c>
    </row>
    <row r="38" customFormat="1" s="405">
      <c r="A38" s="117" t="inlineStr">
        <is>
          <t>Rezultatul financiar Profit</t>
        </is>
      </c>
      <c r="B38" s="70">
        <f>IF(B32-B36&gt;0,B32-B36,"")</f>
        <v/>
      </c>
      <c r="C38" s="70">
        <f>IF(C32-C36&gt;0,C32-C36,"")</f>
        <v/>
      </c>
      <c r="D38" s="70">
        <f>IF(D32-D36&gt;0,D32-D36,"")</f>
        <v/>
      </c>
    </row>
    <row r="39" customFormat="1" s="405">
      <c r="A39" s="117" t="inlineStr">
        <is>
          <t>Rezultatul financiar Pierdere</t>
        </is>
      </c>
      <c r="B39" s="70">
        <f>IF(B32-B36&lt;0,-B32+B36,"")</f>
        <v/>
      </c>
      <c r="C39" s="70">
        <f>IF(C32-C36&lt;0,-C32+C36,"")</f>
        <v/>
      </c>
      <c r="D39" s="70">
        <f>IF(D32-D36&lt;0,-D32+D36,"")</f>
        <v/>
      </c>
    </row>
    <row r="40" customFormat="1" s="113">
      <c r="A40" s="373" t="inlineStr">
        <is>
          <t>Rezultatul curent</t>
        </is>
      </c>
      <c r="B40" s="57">
        <f>B25+B37</f>
        <v/>
      </c>
      <c r="C40" s="57">
        <f>C25+C37</f>
        <v/>
      </c>
      <c r="D40" s="57">
        <f>D25+D37</f>
        <v/>
      </c>
    </row>
    <row r="41" customFormat="1" s="405">
      <c r="A41" s="117" t="inlineStr">
        <is>
          <t>Rezultatul curent Profit</t>
        </is>
      </c>
      <c r="B41" s="70">
        <f>IF(B25+B37&gt;0,B25+B37,"")</f>
        <v/>
      </c>
      <c r="C41" s="70">
        <f>IF(C25+C37&gt;0,C25+C37,"")</f>
        <v/>
      </c>
      <c r="D41" s="70">
        <f>IF(D25+D37&gt;0,D25+D37,"")</f>
        <v/>
      </c>
    </row>
    <row r="42" customFormat="1" s="405">
      <c r="A42" s="117" t="inlineStr">
        <is>
          <t>Rezultatul curent Pierdere</t>
        </is>
      </c>
      <c r="B42" s="70">
        <f>IF(B25+B37&lt;0,-B25-B37,"")</f>
        <v/>
      </c>
      <c r="C42" s="70">
        <f>IF(C25+C37&lt;0,-C25-C37,"")</f>
        <v/>
      </c>
      <c r="D42" s="70">
        <f>IF(D25+D37&lt;0,-D25-D37,"")</f>
        <v/>
      </c>
    </row>
    <row r="43" customFormat="1" s="231">
      <c r="A43" s="373" t="inlineStr">
        <is>
          <t>Venituri extraordinare</t>
        </is>
      </c>
      <c r="B43" s="72" t="n">
        <v>0</v>
      </c>
      <c r="C43" s="72" t="n">
        <v>0</v>
      </c>
      <c r="D43" s="72" t="n">
        <v>0</v>
      </c>
    </row>
    <row r="44" customFormat="1" s="231">
      <c r="A44" s="373" t="inlineStr">
        <is>
          <t>Cheltuieli extraordinare</t>
        </is>
      </c>
      <c r="B44" s="72" t="n">
        <v>0</v>
      </c>
      <c r="C44" s="72" t="n">
        <v>0</v>
      </c>
      <c r="D44" s="72" t="n">
        <v>0</v>
      </c>
    </row>
    <row r="45" customFormat="1" s="231">
      <c r="A45" s="373" t="inlineStr">
        <is>
          <t>Rezultatul extraordinar</t>
        </is>
      </c>
      <c r="B45" s="57">
        <f>B43-B44</f>
        <v/>
      </c>
      <c r="C45" s="57">
        <f>C43-C44</f>
        <v/>
      </c>
      <c r="D45" s="57">
        <f>D43-D44</f>
        <v/>
      </c>
    </row>
    <row r="46" customFormat="1" s="155">
      <c r="A46" s="117" t="inlineStr">
        <is>
          <t>Rezultatul extraordinar Profit</t>
        </is>
      </c>
      <c r="B46" s="70">
        <f>IF(B43-B44&gt;0,B43-B44,"")</f>
        <v/>
      </c>
      <c r="C46" s="70">
        <f>IF(C43-C44&gt;0,C43-C44,"")</f>
        <v/>
      </c>
      <c r="D46" s="70">
        <f>IF(D43-D44&gt;0,D43-D44,"")</f>
        <v/>
      </c>
    </row>
    <row r="47" customFormat="1" s="155">
      <c r="A47" s="117" t="inlineStr">
        <is>
          <t>Rezultatul extraordinar Pierdere</t>
        </is>
      </c>
      <c r="B47" s="70">
        <f>IF(B43-B44&lt;0,-B43+B44,"")</f>
        <v/>
      </c>
      <c r="C47" s="70">
        <f>IF(C43-C44&lt;0,-C43+C44,"")</f>
        <v/>
      </c>
      <c r="D47" s="70">
        <f>IF(D43-D44&lt;0,-D43+D44,"")</f>
        <v/>
      </c>
    </row>
    <row r="48" customFormat="1" s="231">
      <c r="A48" s="373" t="inlineStr">
        <is>
          <t>Venituri totale</t>
        </is>
      </c>
      <c r="B48" s="57">
        <f>B13+B32+B43</f>
        <v/>
      </c>
      <c r="C48" s="57">
        <f>C13+C32+C43</f>
        <v/>
      </c>
      <c r="D48" s="57">
        <f>D13+D32+D43</f>
        <v/>
      </c>
    </row>
    <row r="49" customFormat="1" s="231">
      <c r="A49" s="373" t="inlineStr">
        <is>
          <t>Cheltuieli totale</t>
        </is>
      </c>
      <c r="B49" s="57">
        <f>B24+B36+B44</f>
        <v/>
      </c>
      <c r="C49" s="57">
        <f>C24+C36+C44</f>
        <v/>
      </c>
      <c r="D49" s="57">
        <f>D24+D36+D44</f>
        <v/>
      </c>
    </row>
    <row r="50" customFormat="1" s="231">
      <c r="A50" s="373" t="inlineStr">
        <is>
          <t>Rezultatul brut</t>
        </is>
      </c>
      <c r="B50" s="57">
        <f>B48-B49</f>
        <v/>
      </c>
      <c r="C50" s="57">
        <f>C48-C49</f>
        <v/>
      </c>
      <c r="D50" s="57">
        <f>D48-D49</f>
        <v/>
      </c>
    </row>
    <row r="51" customFormat="1" s="155">
      <c r="A51" s="117" t="inlineStr">
        <is>
          <t>Rezultatul brut Profit</t>
        </is>
      </c>
      <c r="B51" s="70">
        <f>IF(B48-B49&gt;0,B48-B49,"")</f>
        <v/>
      </c>
      <c r="C51" s="70">
        <f>IF(C48-C49&gt;0,C48-C49,"")</f>
        <v/>
      </c>
      <c r="D51" s="70">
        <f>IF(D48-D49&gt;0,D48-D49,"")</f>
        <v/>
      </c>
    </row>
    <row r="52" customFormat="1" s="155">
      <c r="A52" s="117" t="inlineStr">
        <is>
          <t>Rezultatul brut Pierdere</t>
        </is>
      </c>
      <c r="B52" s="70">
        <f>IF(B48-B49&lt;0,-B48+B49,"")</f>
        <v/>
      </c>
      <c r="C52" s="70">
        <f>IF(C48-C49&lt;0,-C48+C49,"")</f>
        <v/>
      </c>
      <c r="D52" s="70">
        <f>IF(D48-D49&lt;0,-D48+D49,"")</f>
        <v/>
      </c>
    </row>
    <row r="53" customFormat="1" s="155">
      <c r="A53" s="117" t="inlineStr">
        <is>
          <t>Impozit pe profit</t>
        </is>
      </c>
      <c r="B53" s="425" t="n">
        <v>0</v>
      </c>
      <c r="C53" s="425" t="n">
        <v>0</v>
      </c>
      <c r="D53" s="69" t="n">
        <v>0</v>
      </c>
    </row>
    <row r="54" customFormat="1" s="155">
      <c r="A54" s="421" t="inlineStr">
        <is>
          <t>Alte impozite neprezentate la elementele de mai sus</t>
        </is>
      </c>
      <c r="B54" s="412" t="n">
        <v>35683</v>
      </c>
      <c r="C54" s="412" t="n">
        <v>34954</v>
      </c>
      <c r="D54" s="422" t="n"/>
    </row>
    <row r="55" customFormat="1" s="231">
      <c r="A55" s="373" t="inlineStr">
        <is>
          <t>Rezultatul net</t>
        </is>
      </c>
      <c r="B55" s="426">
        <f>B50-B53-B54</f>
        <v/>
      </c>
      <c r="C55" s="426">
        <f>C50-C53-C54</f>
        <v/>
      </c>
      <c r="D55" s="57">
        <f>D50-D53-D54</f>
        <v/>
      </c>
    </row>
    <row r="56" customFormat="1" s="155">
      <c r="A56" s="117" t="inlineStr">
        <is>
          <t>Rezultatul net Profit</t>
        </is>
      </c>
      <c r="B56" s="70">
        <f>IF(B55&gt;=0,B55,"")</f>
        <v/>
      </c>
      <c r="C56" s="70">
        <f>IF(C55&gt;=0,C55,"")</f>
        <v/>
      </c>
      <c r="D56" s="70">
        <f>IF(D55&gt;=0,D55,"")</f>
        <v/>
      </c>
    </row>
    <row r="57" customFormat="1" s="155">
      <c r="A57" s="117" t="inlineStr">
        <is>
          <t>Rezultatul net Pierdere</t>
        </is>
      </c>
      <c r="B57" s="70">
        <f>IF(B55&lt;0,-B55,"")</f>
        <v/>
      </c>
      <c r="C57" s="70">
        <f>IF(C55&lt;0,-C55,"")</f>
        <v/>
      </c>
      <c r="D57" s="70">
        <f>IF(D55&lt;0,-D55,"")</f>
        <v/>
      </c>
    </row>
    <row r="58" customFormat="1" s="155">
      <c r="A58" s="174" t="n"/>
      <c r="B58" s="55" t="n"/>
      <c r="C58" s="55" t="n"/>
      <c r="D58" s="55" t="n"/>
    </row>
  </sheetData>
  <mergeCells count="1">
    <mergeCell ref="A3:D3"/>
  </mergeCells>
  <pageMargins left="0.5416666666666666" right="0.46875" top="0.75" bottom="0.75" header="0.3" footer="0.3"/>
  <pageSetup orientation="portrait" paperSize="9" fitToHeight="0" blackAndWhite="1" horizontalDpi="300" verticalDpi="300"/>
</worksheet>
</file>

<file path=xl/worksheets/sheet3.xml><?xml version="1.0" encoding="utf-8"?>
<worksheet xmlns="http://schemas.openxmlformats.org/spreadsheetml/2006/main">
  <sheetPr>
    <tabColor rgb="FF00B0F0"/>
    <outlinePr summaryBelow="1" summaryRight="1"/>
    <pageSetUpPr/>
  </sheetPr>
  <dimension ref="A1:Q98"/>
  <sheetViews>
    <sheetView workbookViewId="0">
      <selection activeCell="A1" sqref="A1:D1"/>
    </sheetView>
  </sheetViews>
  <sheetFormatPr baseColWidth="8" defaultColWidth="9.109375" defaultRowHeight="13.8"/>
  <cols>
    <col width="26.88671875" customWidth="1" style="368" min="1" max="1"/>
    <col width="9.109375" customWidth="1" style="162" min="2" max="4"/>
    <col width="2" customWidth="1" style="368" min="5" max="5"/>
    <col width="27.6640625" customWidth="1" style="368" min="6" max="6"/>
    <col width="7.5546875" customWidth="1" style="103" min="7" max="9"/>
    <col width="1.5546875" customWidth="1" style="368" min="10" max="10"/>
    <col width="27.44140625" customWidth="1" style="368" min="11" max="11"/>
    <col width="9.5546875" bestFit="1" customWidth="1" style="103" min="12" max="12"/>
    <col width="7.6640625" customWidth="1" style="103" min="13" max="13"/>
    <col width="9.109375" customWidth="1" style="369" min="14" max="15"/>
    <col width="10.44140625" customWidth="1" style="370" min="16" max="16"/>
    <col width="9.109375" customWidth="1" style="370" min="17" max="17"/>
    <col width="9.109375" customWidth="1" style="405" min="18" max="16384"/>
  </cols>
  <sheetData>
    <row r="1" ht="14.4" customFormat="1" customHeight="1" s="405">
      <c r="A1" s="434" t="inlineStr">
        <is>
          <t>1C - Analiza financiară extinsă</t>
        </is>
      </c>
      <c r="E1" s="368" t="n"/>
      <c r="F1" s="368" t="n"/>
      <c r="G1" s="103" t="n"/>
      <c r="H1" s="103" t="n"/>
      <c r="I1" s="103" t="n"/>
      <c r="J1" s="368" t="n"/>
      <c r="K1" s="368" t="n"/>
      <c r="L1" s="103" t="n"/>
      <c r="M1" s="103" t="n"/>
      <c r="N1" s="369" t="n"/>
      <c r="O1" s="369" t="n"/>
      <c r="P1" s="370" t="n"/>
      <c r="Q1" s="370" t="n"/>
    </row>
    <row r="2" customFormat="1" s="405">
      <c r="A2" s="170" t="n"/>
      <c r="B2" s="170" t="n"/>
      <c r="C2" s="170" t="n"/>
      <c r="D2" s="170" t="n"/>
      <c r="E2" s="368" t="n"/>
      <c r="F2" s="170" t="n"/>
      <c r="G2" s="170" t="n"/>
      <c r="H2" s="170" t="n"/>
      <c r="I2" s="170" t="n"/>
      <c r="J2" s="368" t="n"/>
      <c r="K2" s="170" t="n"/>
      <c r="L2" s="170" t="n"/>
      <c r="M2" s="170" t="n"/>
      <c r="N2" s="369" t="n"/>
      <c r="O2" s="369" t="n"/>
      <c r="P2" s="370" t="n"/>
      <c r="Q2" s="370" t="n"/>
    </row>
    <row r="3" ht="24" customFormat="1" customHeight="1" s="405">
      <c r="A3" s="366" t="inlineStr">
        <is>
          <t>Istoric Bilanț</t>
        </is>
      </c>
      <c r="B3" s="367">
        <f>'1A-Bilant'!B5</f>
        <v/>
      </c>
      <c r="C3" s="367">
        <f>'1A-Bilant'!C5</f>
        <v/>
      </c>
      <c r="D3" s="367">
        <f>'1A-Bilant'!D5</f>
        <v/>
      </c>
      <c r="E3" s="368" t="n"/>
      <c r="F3" s="366" t="inlineStr">
        <is>
          <t>Indicatori structură bilanț (% din total activ)</t>
        </is>
      </c>
      <c r="G3" s="367">
        <f>'1A-Bilant'!B5</f>
        <v/>
      </c>
      <c r="H3" s="367">
        <f>'1A-Bilant'!C5</f>
        <v/>
      </c>
      <c r="I3" s="367">
        <f>'1A-Bilant'!D5</f>
        <v/>
      </c>
      <c r="J3" s="368" t="n"/>
      <c r="K3" s="366" t="inlineStr">
        <is>
          <t>Indicatori modificare relativă</t>
        </is>
      </c>
      <c r="L3" s="367">
        <f>'1A-Bilant'!C5</f>
        <v/>
      </c>
      <c r="M3" s="367">
        <f>'1A-Bilant'!D5</f>
        <v/>
      </c>
      <c r="N3" s="369" t="n"/>
      <c r="O3" s="369" t="n"/>
      <c r="P3" s="370" t="n"/>
      <c r="Q3" s="370" t="n"/>
    </row>
    <row r="4" ht="15.6" customFormat="1" customHeight="1" s="91">
      <c r="A4" s="366" t="inlineStr">
        <is>
          <t>Active imobilizate</t>
        </is>
      </c>
      <c r="B4" s="85">
        <f>'1A-Bilant'!B18</f>
        <v/>
      </c>
      <c r="C4" s="85">
        <f>'1A-Bilant'!C18</f>
        <v/>
      </c>
      <c r="D4" s="85">
        <f>'1A-Bilant'!D18</f>
        <v/>
      </c>
      <c r="E4" s="170" t="n"/>
      <c r="F4" s="366" t="inlineStr">
        <is>
          <t>Active imobilizate</t>
        </is>
      </c>
      <c r="G4" s="88">
        <f>IFERROR(B4/B$21,"")</f>
        <v/>
      </c>
      <c r="H4" s="88">
        <f>IFERROR(C4/C$21,"")</f>
        <v/>
      </c>
      <c r="I4" s="88">
        <f>IFERROR(D4/D$21,"")</f>
        <v/>
      </c>
      <c r="J4" s="170" t="n"/>
      <c r="K4" s="366" t="inlineStr">
        <is>
          <t>Active imobilizate</t>
        </is>
      </c>
      <c r="L4" s="88">
        <f>IFERROR((C4-B4)/B4,"")</f>
        <v/>
      </c>
      <c r="M4" s="88">
        <f>IFERROR((D4-C4)/C4,"")</f>
        <v/>
      </c>
      <c r="N4" s="89" t="n"/>
      <c r="O4" s="89" t="n"/>
      <c r="P4" s="90" t="n"/>
      <c r="Q4" s="90" t="n"/>
    </row>
    <row r="5" ht="15.6" customFormat="1" customHeight="1" s="91">
      <c r="A5" s="366" t="inlineStr">
        <is>
          <t>Active curente</t>
        </is>
      </c>
      <c r="B5" s="85">
        <f>SUM(B6:B9)</f>
        <v/>
      </c>
      <c r="C5" s="85">
        <f>SUM(C6:C9)</f>
        <v/>
      </c>
      <c r="D5" s="85">
        <f>SUM(D6:D9)</f>
        <v/>
      </c>
      <c r="E5" s="170" t="n"/>
      <c r="F5" s="366" t="inlineStr">
        <is>
          <t>Active curente</t>
        </is>
      </c>
      <c r="G5" s="88">
        <f>IFERROR(B5/B$21,"")</f>
        <v/>
      </c>
      <c r="H5" s="88">
        <f>IFERROR(C5/C$21,"")</f>
        <v/>
      </c>
      <c r="I5" s="88">
        <f>IFERROR(D5/D$21,"")</f>
        <v/>
      </c>
      <c r="J5" s="170" t="n"/>
      <c r="K5" s="366" t="inlineStr">
        <is>
          <t>Active curente</t>
        </is>
      </c>
      <c r="L5" s="88">
        <f>IFERROR((C5-B5)/B5,"")</f>
        <v/>
      </c>
      <c r="M5" s="88">
        <f>IFERROR((D5-C5)/C5,"")</f>
        <v/>
      </c>
      <c r="N5" s="89" t="n"/>
      <c r="O5" s="89" t="n"/>
      <c r="P5" s="90" t="n"/>
      <c r="Q5" s="90" t="n"/>
    </row>
    <row r="6" ht="15.6" customFormat="1" customHeight="1" s="91">
      <c r="A6" s="92" t="inlineStr">
        <is>
          <t>Stocuri</t>
        </is>
      </c>
      <c r="B6" s="93">
        <f>'1A-Bilant'!B25</f>
        <v/>
      </c>
      <c r="C6" s="93">
        <f>'1A-Bilant'!C25</f>
        <v/>
      </c>
      <c r="D6" s="93">
        <f>'1A-Bilant'!D25</f>
        <v/>
      </c>
      <c r="E6" s="170" t="n"/>
      <c r="F6" s="92" t="inlineStr">
        <is>
          <t>Stocuri</t>
        </is>
      </c>
      <c r="G6" s="87">
        <f>IFERROR(B6/B$21,"")</f>
        <v/>
      </c>
      <c r="H6" s="87">
        <f>IFERROR(C6/C$21,"")</f>
        <v/>
      </c>
      <c r="I6" s="87">
        <f>IFERROR(D6/D$21,"")</f>
        <v/>
      </c>
      <c r="J6" s="368" t="n"/>
      <c r="K6" s="92" t="inlineStr">
        <is>
          <t>Stocuri</t>
        </is>
      </c>
      <c r="L6" s="87">
        <f>IFERROR((C6-B6)/B6,"")</f>
        <v/>
      </c>
      <c r="M6" s="87">
        <f>IFERROR((D6-C6)/C6,"")</f>
        <v/>
      </c>
      <c r="N6" s="369" t="n"/>
      <c r="O6" s="89" t="n"/>
      <c r="P6" s="90" t="n"/>
      <c r="Q6" s="90" t="n"/>
    </row>
    <row r="7" ht="15.6" customFormat="1" customHeight="1" s="91">
      <c r="A7" s="92" t="inlineStr">
        <is>
          <t>Creante de incasat</t>
        </is>
      </c>
      <c r="B7" s="93">
        <f>'1A-Bilant'!B26</f>
        <v/>
      </c>
      <c r="C7" s="93">
        <f>'1A-Bilant'!C26</f>
        <v/>
      </c>
      <c r="D7" s="93">
        <f>'1A-Bilant'!D26</f>
        <v/>
      </c>
      <c r="E7" s="170" t="n"/>
      <c r="F7" s="92" t="inlineStr">
        <is>
          <t>Creante de incasat</t>
        </is>
      </c>
      <c r="G7" s="87">
        <f>IFERROR(B7/B$21,"")</f>
        <v/>
      </c>
      <c r="H7" s="87">
        <f>IFERROR(C7/C$21,"")</f>
        <v/>
      </c>
      <c r="I7" s="87">
        <f>IFERROR(D7/D$21,"")</f>
        <v/>
      </c>
      <c r="J7" s="368" t="n"/>
      <c r="K7" s="92" t="inlineStr">
        <is>
          <t>Creante de incasat</t>
        </is>
      </c>
      <c r="L7" s="87">
        <f>IFERROR((C7-B7)/B7,"")</f>
        <v/>
      </c>
      <c r="M7" s="87">
        <f>IFERROR((D7-C7)/C7,"")</f>
        <v/>
      </c>
      <c r="N7" s="369" t="n"/>
      <c r="O7" s="89" t="n"/>
      <c r="P7" s="90" t="n"/>
      <c r="Q7" s="90" t="n"/>
    </row>
    <row r="8" ht="15" customFormat="1" customHeight="1" s="91">
      <c r="A8" s="92" t="inlineStr">
        <is>
          <t>Cheltuieli inregistrate in avans</t>
        </is>
      </c>
      <c r="B8" s="93">
        <f>'1A-Bilant'!B30</f>
        <v/>
      </c>
      <c r="C8" s="93">
        <f>'1A-Bilant'!C30</f>
        <v/>
      </c>
      <c r="D8" s="93">
        <f>'1A-Bilant'!D30</f>
        <v/>
      </c>
      <c r="E8" s="170" t="n"/>
      <c r="F8" s="92" t="inlineStr">
        <is>
          <t>Cheltuieli inregistrate in avans</t>
        </is>
      </c>
      <c r="G8" s="87">
        <f>IFERROR(B8/B$21,"")</f>
        <v/>
      </c>
      <c r="H8" s="87">
        <f>IFERROR(C8/C$21,"")</f>
        <v/>
      </c>
      <c r="I8" s="87">
        <f>IFERROR(D8/D$21,"")</f>
        <v/>
      </c>
      <c r="J8" s="368" t="n"/>
      <c r="K8" s="92" t="inlineStr">
        <is>
          <t>Cheltuieli inregistrate in avans</t>
        </is>
      </c>
      <c r="L8" s="87">
        <f>IFERROR((C8-B8)/B8,"")</f>
        <v/>
      </c>
      <c r="M8" s="87">
        <f>IFERROR((D8-C8)/C8,"")</f>
        <v/>
      </c>
      <c r="N8" s="369" t="n"/>
      <c r="O8" s="89" t="n"/>
      <c r="P8" s="90" t="n"/>
      <c r="Q8" s="90" t="n"/>
    </row>
    <row r="9" ht="15.6" customFormat="1" customHeight="1" s="91">
      <c r="A9" s="92" t="inlineStr">
        <is>
          <t>Cash si echivalente de cash</t>
        </is>
      </c>
      <c r="B9" s="93">
        <f>'1A-Bilant'!B27+'1A-Bilant'!B28</f>
        <v/>
      </c>
      <c r="C9" s="93">
        <f>'1A-Bilant'!C27+'1A-Bilant'!C28</f>
        <v/>
      </c>
      <c r="D9" s="93">
        <f>'1A-Bilant'!D27+'1A-Bilant'!D28</f>
        <v/>
      </c>
      <c r="E9" s="170" t="n"/>
      <c r="F9" s="92" t="inlineStr">
        <is>
          <t>Cash si echivalente de cash</t>
        </is>
      </c>
      <c r="G9" s="87">
        <f>IFERROR(B9/B$21,"")</f>
        <v/>
      </c>
      <c r="H9" s="87">
        <f>IFERROR(C9/C$21,"")</f>
        <v/>
      </c>
      <c r="I9" s="87">
        <f>IFERROR(D9/D$21,"")</f>
        <v/>
      </c>
      <c r="J9" s="368" t="n"/>
      <c r="K9" s="92" t="inlineStr">
        <is>
          <t>Cash si echivalente de cash</t>
        </is>
      </c>
      <c r="L9" s="87">
        <f>IFERROR((C9-B9)/B9,"")</f>
        <v/>
      </c>
      <c r="M9" s="87">
        <f>IFERROR((D9-C9)/C9,"")</f>
        <v/>
      </c>
      <c r="N9" s="369" t="n"/>
      <c r="O9" s="89" t="n"/>
      <c r="P9" s="90" t="n"/>
      <c r="Q9" s="90" t="n"/>
    </row>
    <row r="10" ht="15.6" customFormat="1" customHeight="1" s="91">
      <c r="A10" s="366" t="inlineStr">
        <is>
          <t>Activ total</t>
        </is>
      </c>
      <c r="B10" s="85">
        <f>B4+B5</f>
        <v/>
      </c>
      <c r="C10" s="85">
        <f>C4+C5</f>
        <v/>
      </c>
      <c r="D10" s="85">
        <f>D4+D5</f>
        <v/>
      </c>
      <c r="E10" s="170" t="n"/>
      <c r="F10" s="366" t="inlineStr">
        <is>
          <t>Activ total</t>
        </is>
      </c>
      <c r="G10" s="88">
        <f>IFERROR(B10/B$21,"")</f>
        <v/>
      </c>
      <c r="H10" s="88">
        <f>IFERROR(C10/C$21,"")</f>
        <v/>
      </c>
      <c r="I10" s="88">
        <f>IFERROR(D10/D$21,"")</f>
        <v/>
      </c>
      <c r="J10" s="170" t="n"/>
      <c r="K10" s="366" t="inlineStr">
        <is>
          <t>Activ total</t>
        </is>
      </c>
      <c r="L10" s="88">
        <f>IFERROR((C10-B10)/B10,"")</f>
        <v/>
      </c>
      <c r="M10" s="88">
        <f>IFERROR((D10-C10)/C10,"")</f>
        <v/>
      </c>
      <c r="N10" s="89" t="n"/>
      <c r="O10" s="89" t="n"/>
      <c r="P10" s="90" t="n"/>
      <c r="Q10" s="90" t="n"/>
    </row>
    <row r="11" ht="15.6" customFormat="1" customHeight="1" s="91">
      <c r="A11" s="366" t="inlineStr">
        <is>
          <t>Datorii curente</t>
        </is>
      </c>
      <c r="B11" s="85">
        <f>SUM(B12:B15)</f>
        <v/>
      </c>
      <c r="C11" s="85">
        <f>SUM(C12:C15)</f>
        <v/>
      </c>
      <c r="D11" s="85">
        <f>SUM(D12:D15)</f>
        <v/>
      </c>
      <c r="E11" s="170" t="n"/>
      <c r="F11" s="366" t="inlineStr">
        <is>
          <t>Datorii curente</t>
        </is>
      </c>
      <c r="G11" s="88">
        <f>IFERROR(B11/B$21,"")</f>
        <v/>
      </c>
      <c r="H11" s="88">
        <f>IFERROR(C11/C$21,"")</f>
        <v/>
      </c>
      <c r="I11" s="88">
        <f>IFERROR(D11/D$21,"")</f>
        <v/>
      </c>
      <c r="J11" s="170" t="n"/>
      <c r="K11" s="366" t="inlineStr">
        <is>
          <t>Datorii curente</t>
        </is>
      </c>
      <c r="L11" s="88">
        <f>IFERROR((C11-B11)/B11,"")</f>
        <v/>
      </c>
      <c r="M11" s="88">
        <f>IFERROR((D11-C11)/C11,"")</f>
        <v/>
      </c>
      <c r="N11" s="89" t="n"/>
      <c r="O11" s="89" t="n"/>
      <c r="P11" s="90" t="n"/>
      <c r="Q11" s="90" t="n"/>
    </row>
    <row r="12" ht="15.6" customFormat="1" customHeight="1" s="372">
      <c r="A12" s="92" t="inlineStr">
        <is>
          <t>Datorii financiare pe termen scurt</t>
        </is>
      </c>
      <c r="B12" s="93">
        <f>'1A-Bilant'!B34+'1A-Bilant'!B35</f>
        <v/>
      </c>
      <c r="C12" s="93">
        <f>'1A-Bilant'!C34+'1A-Bilant'!C35</f>
        <v/>
      </c>
      <c r="D12" s="93">
        <f>'1A-Bilant'!D34+'1A-Bilant'!D35</f>
        <v/>
      </c>
      <c r="E12" s="368" t="n"/>
      <c r="F12" s="92" t="inlineStr">
        <is>
          <t>Datorii financiare pe termen scurt</t>
        </is>
      </c>
      <c r="G12" s="87">
        <f>IFERROR(B12/B$21,"")</f>
        <v/>
      </c>
      <c r="H12" s="87">
        <f>IFERROR(C12/C$21,"")</f>
        <v/>
      </c>
      <c r="I12" s="87">
        <f>IFERROR(D12/D$21,"")</f>
        <v/>
      </c>
      <c r="J12" s="368" t="n"/>
      <c r="K12" s="92" t="inlineStr">
        <is>
          <t>Datorii financiare pe termen scurt</t>
        </is>
      </c>
      <c r="L12" s="87">
        <f>IFERROR((C12-B12)/B12,"")</f>
        <v/>
      </c>
      <c r="M12" s="87">
        <f>IFERROR((D12-C12)/C12,"")</f>
        <v/>
      </c>
      <c r="N12" s="369" t="n"/>
      <c r="O12" s="369" t="n"/>
      <c r="P12" s="370" t="n"/>
      <c r="Q12" s="370" t="n"/>
    </row>
    <row r="13" ht="15.6" customFormat="1" customHeight="1" s="372">
      <c r="A13" s="92" t="inlineStr">
        <is>
          <t>Datorii comerciale - furnizori</t>
        </is>
      </c>
      <c r="B13" s="93">
        <f>'1A-Bilant'!B37+'1A-Bilant'!B38</f>
        <v/>
      </c>
      <c r="C13" s="93">
        <f>'1A-Bilant'!C37+'1A-Bilant'!C38</f>
        <v/>
      </c>
      <c r="D13" s="93">
        <f>'1A-Bilant'!D37+'1A-Bilant'!D38</f>
        <v/>
      </c>
      <c r="E13" s="368" t="n"/>
      <c r="F13" s="92" t="inlineStr">
        <is>
          <t>Datorii comerciale - furnizori</t>
        </is>
      </c>
      <c r="G13" s="87">
        <f>IFERROR(B13/B$21,"")</f>
        <v/>
      </c>
      <c r="H13" s="87">
        <f>IFERROR(C13/C$21,"")</f>
        <v/>
      </c>
      <c r="I13" s="87">
        <f>IFERROR(D13/D$21,"")</f>
        <v/>
      </c>
      <c r="J13" s="368" t="n"/>
      <c r="K13" s="92" t="inlineStr">
        <is>
          <t>Datorii comerciale - furnizori</t>
        </is>
      </c>
      <c r="L13" s="87">
        <f>IFERROR((C13-B13)/B13,"")</f>
        <v/>
      </c>
      <c r="M13" s="87">
        <f>IFERROR((D13-C13)/C13,"")</f>
        <v/>
      </c>
      <c r="N13" s="369" t="n"/>
      <c r="O13" s="369" t="n"/>
      <c r="P13" s="370" t="n"/>
      <c r="Q13" s="370" t="n"/>
    </row>
    <row r="14" ht="15.6" customFormat="1" customHeight="1" s="372">
      <c r="A14" s="92" t="inlineStr">
        <is>
          <t>Alte datorii pe termen scurt</t>
        </is>
      </c>
      <c r="B14" s="93">
        <f>'1A-Bilant'!B36+'1A-Bilant'!B39+'1A-Bilant'!B40+'1A-Bilant'!B41</f>
        <v/>
      </c>
      <c r="C14" s="93">
        <f>'1A-Bilant'!C36+'1A-Bilant'!C39+'1A-Bilant'!C40+'1A-Bilant'!C41</f>
        <v/>
      </c>
      <c r="D14" s="93">
        <f>'1A-Bilant'!D36+'1A-Bilant'!D39+'1A-Bilant'!D40+'1A-Bilant'!D41</f>
        <v/>
      </c>
      <c r="E14" s="368" t="n"/>
      <c r="F14" s="92" t="inlineStr">
        <is>
          <t>Alte datorii pe termen scurt</t>
        </is>
      </c>
      <c r="G14" s="87">
        <f>IFERROR(B14/B$21,"")</f>
        <v/>
      </c>
      <c r="H14" s="87">
        <f>IFERROR(C14/C$21,"")</f>
        <v/>
      </c>
      <c r="I14" s="87">
        <f>IFERROR(D14/D$21,"")</f>
        <v/>
      </c>
      <c r="J14" s="368" t="n"/>
      <c r="K14" s="92" t="inlineStr">
        <is>
          <t>Alte datorii pe termen scurt</t>
        </is>
      </c>
      <c r="L14" s="87">
        <f>IFERROR((C14-B14)/B14,"")</f>
        <v/>
      </c>
      <c r="M14" s="87">
        <f>IFERROR((D14-C14)/C14,"")</f>
        <v/>
      </c>
      <c r="N14" s="369" t="n"/>
      <c r="O14" s="369" t="n"/>
      <c r="P14" s="370" t="n"/>
      <c r="Q14" s="370" t="n"/>
    </row>
    <row r="15" ht="15.6" customFormat="1" customHeight="1" s="372">
      <c r="A15" s="92" t="inlineStr">
        <is>
          <t>Venituri inregistrate in avans</t>
        </is>
      </c>
      <c r="B15" s="93">
        <f>'1A-Bilant'!B56</f>
        <v/>
      </c>
      <c r="C15" s="93">
        <f>'1A-Bilant'!C56</f>
        <v/>
      </c>
      <c r="D15" s="93">
        <f>'1A-Bilant'!D56</f>
        <v/>
      </c>
      <c r="E15" s="368" t="n"/>
      <c r="F15" s="92" t="inlineStr">
        <is>
          <t>Venituri inregistrate in avans</t>
        </is>
      </c>
      <c r="G15" s="87">
        <f>IFERROR(B15/B$21,"")</f>
        <v/>
      </c>
      <c r="H15" s="87">
        <f>IFERROR(C15/C$21,"")</f>
        <v/>
      </c>
      <c r="I15" s="87">
        <f>IFERROR(D15/D$21,"")</f>
        <v/>
      </c>
      <c r="J15" s="368" t="n"/>
      <c r="K15" s="92" t="inlineStr">
        <is>
          <t>Venituri inregistrate in avans</t>
        </is>
      </c>
      <c r="L15" s="87">
        <f>IFERROR((C15-B15)/B15,"")</f>
        <v/>
      </c>
      <c r="M15" s="87">
        <f>IFERROR((D15-C15)/C15,"")</f>
        <v/>
      </c>
      <c r="N15" s="369" t="n"/>
      <c r="O15" s="369" t="n"/>
      <c r="P15" s="370" t="n"/>
      <c r="Q15" s="370" t="n"/>
    </row>
    <row r="16" ht="15.6" customFormat="1" customHeight="1" s="91">
      <c r="A16" s="366" t="inlineStr">
        <is>
          <t>Datorii pe termen lung</t>
        </is>
      </c>
      <c r="B16" s="85">
        <f>SUM(B17:B19)</f>
        <v/>
      </c>
      <c r="C16" s="85">
        <f>SUM(C17:C19)</f>
        <v/>
      </c>
      <c r="D16" s="85">
        <f>SUM(D17:D19)</f>
        <v/>
      </c>
      <c r="E16" s="170" t="n"/>
      <c r="F16" s="366" t="inlineStr">
        <is>
          <t>Datorii pe termen lung</t>
        </is>
      </c>
      <c r="G16" s="88">
        <f>IFERROR(B16/B$21,"")</f>
        <v/>
      </c>
      <c r="H16" s="88">
        <f>IFERROR(C16/C$21,"")</f>
        <v/>
      </c>
      <c r="I16" s="88">
        <f>IFERROR(D16/D$21,"")</f>
        <v/>
      </c>
      <c r="J16" s="170" t="n"/>
      <c r="K16" s="366" t="inlineStr">
        <is>
          <t>Datorii pe termen lung</t>
        </is>
      </c>
      <c r="L16" s="88">
        <f>IFERROR((C16-B16)/B16,"")</f>
        <v/>
      </c>
      <c r="M16" s="88">
        <f>IFERROR((D16-C16)/C16,"")</f>
        <v/>
      </c>
      <c r="N16" s="89" t="n"/>
      <c r="O16" s="89" t="n"/>
      <c r="P16" s="90" t="n"/>
      <c r="Q16" s="90" t="n"/>
    </row>
    <row r="17" ht="15.6" customFormat="1" customHeight="1" s="91">
      <c r="A17" s="92" t="inlineStr">
        <is>
          <t>Datorii financiare pe termen lung</t>
        </is>
      </c>
      <c r="B17" s="93">
        <f>'1A-Bilant'!B46+'1A-Bilant'!B47</f>
        <v/>
      </c>
      <c r="C17" s="93">
        <f>'1A-Bilant'!C46+'1A-Bilant'!C47</f>
        <v/>
      </c>
      <c r="D17" s="93">
        <f>'1A-Bilant'!D46+'1A-Bilant'!D47</f>
        <v/>
      </c>
      <c r="E17" s="170" t="n"/>
      <c r="F17" s="366" t="inlineStr">
        <is>
          <t>Datorii financiare pe termen lung</t>
        </is>
      </c>
      <c r="G17" s="88">
        <f>IFERROR(B17/B$21,"")</f>
        <v/>
      </c>
      <c r="H17" s="88">
        <f>IFERROR(C17/C$21,"")</f>
        <v/>
      </c>
      <c r="I17" s="88">
        <f>IFERROR(D17/D$21,"")</f>
        <v/>
      </c>
      <c r="J17" s="170" t="n"/>
      <c r="K17" s="366" t="inlineStr">
        <is>
          <t>Datorii financiare pe termen lung</t>
        </is>
      </c>
      <c r="L17" s="88">
        <f>IFERROR((C17-B17)/B17,"")</f>
        <v/>
      </c>
      <c r="M17" s="88">
        <f>IFERROR((D17-C17)/C17,"")</f>
        <v/>
      </c>
      <c r="N17" s="89" t="n"/>
      <c r="O17" s="89" t="n"/>
      <c r="P17" s="353" t="n"/>
      <c r="Q17" s="90" t="n"/>
    </row>
    <row r="18" ht="15.6" customFormat="1" customHeight="1" s="372">
      <c r="A18" s="92" t="inlineStr">
        <is>
          <t>Alte datorii pe termen lung</t>
        </is>
      </c>
      <c r="B18" s="93">
        <f>SUM('1A-Bilant'!B48:B53)</f>
        <v/>
      </c>
      <c r="C18" s="93">
        <f>SUM('1A-Bilant'!C48:C53)</f>
        <v/>
      </c>
      <c r="D18" s="93">
        <f>SUM('1A-Bilant'!D48:D53)</f>
        <v/>
      </c>
      <c r="E18" s="368" t="n"/>
      <c r="F18" s="92" t="inlineStr">
        <is>
          <t>Alte datorii pe termen lung</t>
        </is>
      </c>
      <c r="G18" s="87">
        <f>IFERROR(B18/B$21,"")</f>
        <v/>
      </c>
      <c r="H18" s="87">
        <f>IFERROR(C18/C$21,"")</f>
        <v/>
      </c>
      <c r="I18" s="87">
        <f>IFERROR(D18/D$21,"")</f>
        <v/>
      </c>
      <c r="J18" s="368" t="n"/>
      <c r="K18" s="92" t="inlineStr">
        <is>
          <t>Alte datorii pe termen lung</t>
        </is>
      </c>
      <c r="L18" s="87">
        <f>IFERROR((C18-B18)/B18,"")</f>
        <v/>
      </c>
      <c r="M18" s="87">
        <f>IFERROR((D18-C18)/C18,"")</f>
        <v/>
      </c>
      <c r="N18" s="369" t="n"/>
      <c r="O18" s="369" t="n"/>
      <c r="P18" s="370" t="n"/>
      <c r="Q18" s="370" t="n"/>
    </row>
    <row r="19" ht="15.6" customFormat="1" customHeight="1" s="372">
      <c r="A19" s="92" t="inlineStr">
        <is>
          <t>Provizioane</t>
        </is>
      </c>
      <c r="B19" s="93">
        <f>'1A-Bilant'!B55</f>
        <v/>
      </c>
      <c r="C19" s="93">
        <f>'1A-Bilant'!C55</f>
        <v/>
      </c>
      <c r="D19" s="93">
        <f>'1A-Bilant'!D55</f>
        <v/>
      </c>
      <c r="E19" s="368" t="n"/>
      <c r="F19" s="92" t="inlineStr">
        <is>
          <t>Provizioane</t>
        </is>
      </c>
      <c r="G19" s="87">
        <f>IFERROR(B19/B$21,"")</f>
        <v/>
      </c>
      <c r="H19" s="87">
        <f>IFERROR(C19/C$21,"")</f>
        <v/>
      </c>
      <c r="I19" s="87">
        <f>IFERROR(D19/D$21,"")</f>
        <v/>
      </c>
      <c r="J19" s="368" t="n"/>
      <c r="K19" s="92" t="inlineStr">
        <is>
          <t>Provizioane</t>
        </is>
      </c>
      <c r="L19" s="87">
        <f>IFERROR((C19-B19)/B19,"")</f>
        <v/>
      </c>
      <c r="M19" s="87">
        <f>IFERROR((D19-C19)/C19,"")</f>
        <v/>
      </c>
      <c r="N19" s="369" t="n"/>
      <c r="O19" s="369" t="n"/>
      <c r="P19" s="370" t="n"/>
      <c r="Q19" s="370" t="n"/>
    </row>
    <row r="20" ht="15.6" customFormat="1" customHeight="1" s="91">
      <c r="A20" s="366" t="inlineStr">
        <is>
          <t>Capital propriu</t>
        </is>
      </c>
      <c r="B20" s="85">
        <f>'1A-Bilant'!B89</f>
        <v/>
      </c>
      <c r="C20" s="85">
        <f>'1A-Bilant'!C89</f>
        <v/>
      </c>
      <c r="D20" s="85">
        <f>'1A-Bilant'!D89</f>
        <v/>
      </c>
      <c r="E20" s="170" t="n"/>
      <c r="F20" s="366" t="inlineStr">
        <is>
          <t>Capital propriu</t>
        </is>
      </c>
      <c r="G20" s="87">
        <f>IFERROR(B20/B$21,"")</f>
        <v/>
      </c>
      <c r="H20" s="88">
        <f>IFERROR(C20/C$21,"")</f>
        <v/>
      </c>
      <c r="I20" s="88">
        <f>IFERROR(D20/D$21,"")</f>
        <v/>
      </c>
      <c r="J20" s="170" t="n"/>
      <c r="K20" s="366" t="inlineStr">
        <is>
          <t>Capital propriu</t>
        </is>
      </c>
      <c r="L20" s="88">
        <f>IFERROR((C20-B20)/B20,"")</f>
        <v/>
      </c>
      <c r="M20" s="88">
        <f>IFERROR((D20-C20)/C20,"")</f>
        <v/>
      </c>
      <c r="N20" s="89" t="n"/>
      <c r="O20" s="89" t="n"/>
      <c r="P20" s="90" t="n"/>
      <c r="Q20" s="90" t="n"/>
    </row>
    <row r="21" ht="15.6" customFormat="1" customHeight="1" s="91">
      <c r="A21" s="366">
        <f>'1A-Bilant'!A93</f>
        <v/>
      </c>
      <c r="B21" s="85">
        <f>B4+B5</f>
        <v/>
      </c>
      <c r="C21" s="85">
        <f>C4+C5</f>
        <v/>
      </c>
      <c r="D21" s="85">
        <f>D4+D5</f>
        <v/>
      </c>
      <c r="E21" s="170" t="n"/>
      <c r="F21" s="366" t="inlineStr">
        <is>
          <t>TOTAL ACTIV</t>
        </is>
      </c>
      <c r="G21" s="87">
        <f>IFERROR(B21/B$21,"")</f>
        <v/>
      </c>
      <c r="H21" s="88">
        <f>IFERROR(C21/C$21,"")</f>
        <v/>
      </c>
      <c r="I21" s="88">
        <f>IFERROR(D21/D$21,"")</f>
        <v/>
      </c>
      <c r="J21" s="170" t="n"/>
      <c r="K21" s="366" t="inlineStr">
        <is>
          <t>TOTAL ACTIV</t>
        </is>
      </c>
      <c r="L21" s="88">
        <f>IFERROR((C21-B21)/B21,"")</f>
        <v/>
      </c>
      <c r="M21" s="88">
        <f>IFERROR((D21-C21)/C21,"")</f>
        <v/>
      </c>
      <c r="N21" s="89" t="n"/>
      <c r="O21" s="89" t="n"/>
      <c r="P21" s="90" t="n"/>
      <c r="Q21" s="90" t="n"/>
    </row>
    <row r="22" ht="15.6" customFormat="1" customHeight="1" s="91">
      <c r="A22" s="366">
        <f>'1A-Bilant'!A94</f>
        <v/>
      </c>
      <c r="B22" s="85">
        <f>B11+B16+B20</f>
        <v/>
      </c>
      <c r="C22" s="85">
        <f>C11+C16+C20</f>
        <v/>
      </c>
      <c r="D22" s="85">
        <f>D11+D16+D20</f>
        <v/>
      </c>
      <c r="E22" s="170" t="n"/>
      <c r="F22" s="366" t="inlineStr">
        <is>
          <t>TOTAL CAPITALURI SI DATORII</t>
        </is>
      </c>
      <c r="G22" s="87">
        <f>IFERROR(B22/B$21,"")</f>
        <v/>
      </c>
      <c r="H22" s="88">
        <f>IFERROR(C22/C$21,"")</f>
        <v/>
      </c>
      <c r="I22" s="88">
        <f>IFERROR(D22/D$21,"")</f>
        <v/>
      </c>
      <c r="J22" s="170" t="n"/>
      <c r="K22" s="366" t="inlineStr">
        <is>
          <t>TOTAL CAPITALURI SI DATORII</t>
        </is>
      </c>
      <c r="L22" s="88">
        <f>IFERROR((C22-B22)/B22,"")</f>
        <v/>
      </c>
      <c r="M22" s="88">
        <f>IFERROR((D22-C22)/C22,"")</f>
        <v/>
      </c>
      <c r="N22" s="89" t="n"/>
      <c r="O22" s="89" t="n"/>
      <c r="P22" s="90" t="n"/>
      <c r="Q22" s="90" t="n"/>
    </row>
    <row r="23" ht="15.6" customFormat="1" customHeight="1" s="91">
      <c r="A23" s="170" t="n"/>
      <c r="B23" s="95" t="n"/>
      <c r="C23" s="95" t="n"/>
      <c r="D23" s="95" t="n"/>
      <c r="E23" s="170" t="n"/>
      <c r="F23" s="170" t="n"/>
      <c r="G23" s="96" t="n"/>
      <c r="H23" s="96" t="n"/>
      <c r="I23" s="96" t="n"/>
      <c r="J23" s="170" t="n"/>
      <c r="K23" s="170" t="n"/>
      <c r="L23" s="96" t="n"/>
      <c r="M23" s="96" t="n"/>
      <c r="N23" s="89" t="n"/>
      <c r="O23" s="89" t="n"/>
      <c r="P23" s="90" t="n"/>
      <c r="Q23" s="90" t="n"/>
    </row>
    <row r="24" ht="24" customFormat="1" customHeight="1" s="372">
      <c r="A24" s="366" t="inlineStr">
        <is>
          <t>Istoric cont de profit și pierdere</t>
        </is>
      </c>
      <c r="B24" s="367">
        <f>'1A-Bilant'!B5</f>
        <v/>
      </c>
      <c r="C24" s="367">
        <f>'1A-Bilant'!C5</f>
        <v/>
      </c>
      <c r="D24" s="367">
        <f>'1A-Bilant'!D5</f>
        <v/>
      </c>
      <c r="E24" s="368" t="n"/>
      <c r="F24" s="366" t="inlineStr">
        <is>
          <t>Indicatori structură CPP (% in cifra de afaceri)</t>
        </is>
      </c>
      <c r="G24" s="367">
        <f>'1A-Bilant'!B5</f>
        <v/>
      </c>
      <c r="H24" s="367">
        <f>'1A-Bilant'!C5</f>
        <v/>
      </c>
      <c r="I24" s="367">
        <f>'1A-Bilant'!D5</f>
        <v/>
      </c>
      <c r="J24" s="368" t="n"/>
      <c r="K24" s="366" t="inlineStr">
        <is>
          <t>Indicatori modificare relativă</t>
        </is>
      </c>
      <c r="L24" s="367">
        <f>'1A-Bilant'!C5</f>
        <v/>
      </c>
      <c r="M24" s="367">
        <f>'1A-Bilant'!D5</f>
        <v/>
      </c>
      <c r="N24" s="369" t="n"/>
      <c r="O24" s="369" t="n"/>
      <c r="P24" s="370" t="n"/>
      <c r="Q24" s="370" t="n"/>
    </row>
    <row r="25" ht="15.6" customFormat="1" customHeight="1" s="91">
      <c r="A25" s="366">
        <f>'1B-ContPP'!A6</f>
        <v/>
      </c>
      <c r="B25" s="85">
        <f>'1B-ContPP'!B6</f>
        <v/>
      </c>
      <c r="C25" s="85">
        <f>'1B-ContPP'!C6</f>
        <v/>
      </c>
      <c r="D25" s="85">
        <f>'1B-ContPP'!D6</f>
        <v/>
      </c>
      <c r="E25" s="170" t="n"/>
      <c r="F25" s="366" t="inlineStr">
        <is>
          <t>Cifra de afaceri neta</t>
        </is>
      </c>
      <c r="G25" s="88">
        <f>IFERROR(B25/B$25,"")</f>
        <v/>
      </c>
      <c r="H25" s="88">
        <f>IFERROR(C25/C$25,"")</f>
        <v/>
      </c>
      <c r="I25" s="88">
        <f>IFERROR(D25/D$25,"")</f>
        <v/>
      </c>
      <c r="J25" s="170" t="n"/>
      <c r="K25" s="366" t="inlineStr">
        <is>
          <t>Cifra de afaceri neta</t>
        </is>
      </c>
      <c r="L25" s="88">
        <f>IFERROR((C25-B25)/B25,"")</f>
        <v/>
      </c>
      <c r="M25" s="88">
        <f>IFERROR((D25-C25)/C25,"")</f>
        <v/>
      </c>
      <c r="N25" s="89" t="n"/>
      <c r="O25" s="89" t="n"/>
      <c r="P25" s="90" t="n"/>
      <c r="Q25" s="90" t="n"/>
    </row>
    <row r="26" ht="15.6" customFormat="1" customHeight="1" s="372">
      <c r="A26" s="92">
        <f>'1B-ContPP'!A12</f>
        <v/>
      </c>
      <c r="B26" s="93">
        <f>'1B-ContPP'!B12</f>
        <v/>
      </c>
      <c r="C26" s="93">
        <f>'1B-ContPP'!C12</f>
        <v/>
      </c>
      <c r="D26" s="93">
        <f>'1B-ContPP'!D12</f>
        <v/>
      </c>
      <c r="E26" s="368" t="n"/>
      <c r="F26" s="92" t="inlineStr">
        <is>
          <t>Alte venituri din exploatare</t>
        </is>
      </c>
      <c r="G26" s="87">
        <f>IFERROR(B26/B$25,"")</f>
        <v/>
      </c>
      <c r="H26" s="87">
        <f>IFERROR(C26/C$25,"")</f>
        <v/>
      </c>
      <c r="I26" s="87">
        <f>IFERROR(D26/D$25,"")</f>
        <v/>
      </c>
      <c r="J26" s="368" t="n"/>
      <c r="K26" s="92" t="inlineStr">
        <is>
          <t>Alte venituri din exploatare</t>
        </is>
      </c>
      <c r="L26" s="87">
        <f>IFERROR((C26-B26)/B26,"")</f>
        <v/>
      </c>
      <c r="M26" s="87">
        <f>IFERROR((D26-C26)/C26,"")</f>
        <v/>
      </c>
      <c r="N26" s="369" t="n"/>
      <c r="O26" s="369" t="n"/>
      <c r="P26" s="370" t="n"/>
      <c r="Q26" s="370" t="n"/>
    </row>
    <row r="27" ht="15.6" customFormat="1" customHeight="1" s="91">
      <c r="A27" s="366">
        <f>'1B-ContPP'!A13</f>
        <v/>
      </c>
      <c r="B27" s="85">
        <f>'1B-ContPP'!B13</f>
        <v/>
      </c>
      <c r="C27" s="85">
        <f>'1B-ContPP'!C13</f>
        <v/>
      </c>
      <c r="D27" s="85">
        <f>'1B-ContPP'!D13</f>
        <v/>
      </c>
      <c r="E27" s="170" t="n"/>
      <c r="F27" s="366" t="inlineStr">
        <is>
          <t>Venituri din exploatare - total</t>
        </is>
      </c>
      <c r="G27" s="88">
        <f>IFERROR(B27/B$25,"")</f>
        <v/>
      </c>
      <c r="H27" s="88">
        <f>IFERROR(C27/C$25,"")</f>
        <v/>
      </c>
      <c r="I27" s="88">
        <f>IFERROR(D27/D$25,"")</f>
        <v/>
      </c>
      <c r="J27" s="170" t="n"/>
      <c r="K27" s="366" t="inlineStr">
        <is>
          <t>Venituri din exploatare - total</t>
        </is>
      </c>
      <c r="L27" s="88">
        <f>IFERROR((C27-B27)/B27,"")</f>
        <v/>
      </c>
      <c r="M27" s="88">
        <f>IFERROR((D27-C27)/C27,"")</f>
        <v/>
      </c>
      <c r="N27" s="89" t="n"/>
      <c r="O27" s="89" t="n"/>
      <c r="P27" s="90" t="n"/>
      <c r="Q27" s="90" t="n"/>
    </row>
    <row r="28" ht="15.6" customFormat="1" customHeight="1" s="372">
      <c r="A28" s="97" t="inlineStr">
        <is>
          <t>Cheltuieli monetare de exploatare</t>
        </is>
      </c>
      <c r="B28" s="93">
        <f>SUM('1B-ContPP'!B14:B19)+'1B-ContPP'!B22</f>
        <v/>
      </c>
      <c r="C28" s="93">
        <f>SUM('1B-ContPP'!C14:C19)+'1B-ContPP'!C22</f>
        <v/>
      </c>
      <c r="D28" s="93">
        <f>SUM('1B-ContPP'!D14:D19)+'1B-ContPP'!D22</f>
        <v/>
      </c>
      <c r="E28" s="368" t="n"/>
      <c r="F28" s="92" t="inlineStr">
        <is>
          <t>Cheltuieli monetare de exploatare</t>
        </is>
      </c>
      <c r="G28" s="87">
        <f>IFERROR(B28/B$25,"")</f>
        <v/>
      </c>
      <c r="H28" s="87">
        <f>IFERROR(C28/C$25,"")</f>
        <v/>
      </c>
      <c r="I28" s="87">
        <f>IFERROR(D28/D$25,"")</f>
        <v/>
      </c>
      <c r="J28" s="368" t="n"/>
      <c r="K28" s="92" t="inlineStr">
        <is>
          <t>Cheltuieli monetare de exploatare</t>
        </is>
      </c>
      <c r="L28" s="87">
        <f>IFERROR((C28-B28)/B28,"")</f>
        <v/>
      </c>
      <c r="M28" s="87">
        <f>IFERROR((D28-C28)/C28,"")</f>
        <v/>
      </c>
      <c r="N28" s="369" t="n"/>
      <c r="O28" s="369" t="n"/>
      <c r="P28" s="370" t="n"/>
      <c r="Q28" s="370" t="n"/>
    </row>
    <row r="29" ht="36" customFormat="1" customHeight="1" s="101">
      <c r="A29" s="92" t="inlineStr">
        <is>
          <t>Ajustări de valoare privind imobilizările, activele circulante si provizioanele</t>
        </is>
      </c>
      <c r="B29" s="93">
        <f>'1B-ContPP'!B20+'1B-ContPP'!B21+'1B-ContPP'!B23</f>
        <v/>
      </c>
      <c r="C29" s="93">
        <f>'1B-ContPP'!C20+'1B-ContPP'!C21+'1B-ContPP'!C23</f>
        <v/>
      </c>
      <c r="D29" s="93">
        <f>'1B-ContPP'!D20+'1B-ContPP'!D21+'1B-ContPP'!D23</f>
        <v/>
      </c>
      <c r="E29" s="98" t="n"/>
      <c r="F29" s="92" t="inlineStr">
        <is>
          <t>Ajustări de valoare privind imobilizările, activele circulante si provizioanele</t>
        </is>
      </c>
      <c r="G29" s="87">
        <f>IFERROR(B29/B$25,"")</f>
        <v/>
      </c>
      <c r="H29" s="87">
        <f>IFERROR(C29/C$25,"")</f>
        <v/>
      </c>
      <c r="I29" s="87">
        <f>IFERROR(D29/D$25,"")</f>
        <v/>
      </c>
      <c r="J29" s="368" t="n"/>
      <c r="K29" s="92" t="inlineStr">
        <is>
          <t>Ajustări de valoare privind imobilizările, activele circulante si provizioanele</t>
        </is>
      </c>
      <c r="L29" s="87">
        <f>IFERROR((C29-B29)/B29,"")</f>
        <v/>
      </c>
      <c r="M29" s="87">
        <f>IFERROR((D29-C29)/C29,"")</f>
        <v/>
      </c>
      <c r="N29" s="99" t="n"/>
      <c r="O29" s="99" t="n"/>
      <c r="P29" s="100" t="n"/>
      <c r="Q29" s="100" t="n"/>
    </row>
    <row r="30" ht="15.6" customFormat="1" customHeight="1" s="91">
      <c r="A30" s="366">
        <f>'1B-ContPP'!A24</f>
        <v/>
      </c>
      <c r="B30" s="85">
        <f>'1B-ContPP'!B24</f>
        <v/>
      </c>
      <c r="C30" s="85">
        <f>'1B-ContPP'!C24</f>
        <v/>
      </c>
      <c r="D30" s="85">
        <f>'1B-ContPP'!D24</f>
        <v/>
      </c>
      <c r="E30" s="170" t="n"/>
      <c r="F30" s="366" t="inlineStr">
        <is>
          <t>Cheltuieli din exploatare - total</t>
        </is>
      </c>
      <c r="G30" s="88">
        <f>IFERROR(B30/B$25,"")</f>
        <v/>
      </c>
      <c r="H30" s="88">
        <f>IFERROR(C30/C$25,"")</f>
        <v/>
      </c>
      <c r="I30" s="88">
        <f>IFERROR(D30/D$25,"")</f>
        <v/>
      </c>
      <c r="J30" s="170" t="n"/>
      <c r="K30" s="366" t="inlineStr">
        <is>
          <t>Cheltuieli din exploatare - total</t>
        </is>
      </c>
      <c r="L30" s="88">
        <f>IFERROR((C30-B30)/B30,"")</f>
        <v/>
      </c>
      <c r="M30" s="88">
        <f>IFERROR((D30-C30)/C30,"")</f>
        <v/>
      </c>
      <c r="N30" s="89" t="n"/>
      <c r="O30" s="89" t="n"/>
      <c r="P30" s="90" t="n"/>
      <c r="Q30" s="90" t="n"/>
    </row>
    <row r="31" ht="15.6" customFormat="1" customHeight="1" s="372">
      <c r="A31" s="366">
        <f>'1B-ContPP'!A25</f>
        <v/>
      </c>
      <c r="B31" s="85">
        <f>'1B-ContPP'!B25</f>
        <v/>
      </c>
      <c r="C31" s="85">
        <f>'1B-ContPP'!C25</f>
        <v/>
      </c>
      <c r="D31" s="85">
        <f>'1B-ContPP'!D25</f>
        <v/>
      </c>
      <c r="E31" s="368" t="n"/>
      <c r="F31" s="366" t="inlineStr">
        <is>
          <t>Rezultatul din exploatare</t>
        </is>
      </c>
      <c r="G31" s="88">
        <f>IFERROR(B31/B$25,"")</f>
        <v/>
      </c>
      <c r="H31" s="88">
        <f>IFERROR(C31/C$25,"")</f>
        <v/>
      </c>
      <c r="I31" s="88">
        <f>IFERROR(D31/D$25,"")</f>
        <v/>
      </c>
      <c r="J31" s="170" t="n"/>
      <c r="K31" s="366" t="inlineStr">
        <is>
          <t>Rezultatul din exploatare</t>
        </is>
      </c>
      <c r="L31" s="88">
        <f>IF(C31&gt;0,ABS((C31-B31)/B31),0)</f>
        <v/>
      </c>
      <c r="M31" s="88">
        <f>IF(D31&gt;0,ABS((D31-C31)/C31),0)</f>
        <v/>
      </c>
      <c r="N31" s="369" t="n"/>
      <c r="O31" s="369" t="n"/>
      <c r="P31" s="370" t="n"/>
      <c r="Q31" s="370" t="n"/>
    </row>
    <row r="32" ht="15.6" customFormat="1" customHeight="1" s="372">
      <c r="A32" s="366">
        <f>'1B-ContPP'!A32</f>
        <v/>
      </c>
      <c r="B32" s="85">
        <f>'1B-ContPP'!B32</f>
        <v/>
      </c>
      <c r="C32" s="85">
        <f>'1B-ContPP'!C32</f>
        <v/>
      </c>
      <c r="D32" s="85">
        <f>'1B-ContPP'!D32</f>
        <v/>
      </c>
      <c r="E32" s="368" t="n"/>
      <c r="F32" s="366" t="inlineStr">
        <is>
          <t>Venituri financiare</t>
        </is>
      </c>
      <c r="G32" s="88">
        <f>IFERROR(B32/B$25,"")</f>
        <v/>
      </c>
      <c r="H32" s="88">
        <f>IFERROR(C32/C$25,"")</f>
        <v/>
      </c>
      <c r="I32" s="88">
        <f>IFERROR(D32/D$25,"")</f>
        <v/>
      </c>
      <c r="J32" s="170" t="n"/>
      <c r="K32" s="366" t="inlineStr">
        <is>
          <t>Venituri financiare</t>
        </is>
      </c>
      <c r="L32" s="88">
        <f>IFERROR((C32-B32)/B32,"")</f>
        <v/>
      </c>
      <c r="M32" s="88">
        <f>IFERROR((D32-C32)/C32,"")</f>
        <v/>
      </c>
      <c r="N32" s="369" t="n"/>
      <c r="O32" s="369" t="n"/>
      <c r="P32" s="370" t="n"/>
      <c r="Q32" s="370" t="n"/>
    </row>
    <row r="33" ht="48" customFormat="1" customHeight="1" s="372">
      <c r="A33" s="92">
        <f>'1B-ContPP'!A33</f>
        <v/>
      </c>
      <c r="B33" s="93">
        <f>'1B-ContPP'!B33</f>
        <v/>
      </c>
      <c r="C33" s="93">
        <f>'1B-ContPP'!C33</f>
        <v/>
      </c>
      <c r="D33" s="93">
        <f>'1B-ContPP'!D33</f>
        <v/>
      </c>
      <c r="E33" s="368" t="n"/>
      <c r="F33" s="92" t="inlineStr">
        <is>
          <t>Ajustări de valoare privind imobilizările financiare şi investiţiile financiare deţinute ca active circulante</t>
        </is>
      </c>
      <c r="G33" s="87">
        <f>IFERROR(B33/B$25,"")</f>
        <v/>
      </c>
      <c r="H33" s="87">
        <f>IFERROR(C33/C$25,"")</f>
        <v/>
      </c>
      <c r="I33" s="87">
        <f>IFERROR(D33/D$25,"")</f>
        <v/>
      </c>
      <c r="J33" s="368" t="n"/>
      <c r="K33" s="92" t="inlineStr">
        <is>
          <t>Ajustări de valoare privind imobilizările financiare şi investiţiile financiare deţinute ca active circulante</t>
        </is>
      </c>
      <c r="L33" s="87">
        <f>IFERROR((C33-B33)/B33,"")</f>
        <v/>
      </c>
      <c r="M33" s="87">
        <f>IFERROR((D33-C33)/C33,"")</f>
        <v/>
      </c>
      <c r="N33" s="369" t="n"/>
      <c r="O33" s="369" t="n"/>
      <c r="P33" s="370" t="n"/>
      <c r="Q33" s="370" t="n"/>
    </row>
    <row r="34" ht="15.6" customFormat="1" customHeight="1" s="372">
      <c r="A34" s="92">
        <f>'1B-ContPP'!A34</f>
        <v/>
      </c>
      <c r="B34" s="93">
        <f>'1B-ContPP'!B34</f>
        <v/>
      </c>
      <c r="C34" s="93">
        <f>'1B-ContPP'!C34</f>
        <v/>
      </c>
      <c r="D34" s="93">
        <f>'1B-ContPP'!D34</f>
        <v/>
      </c>
      <c r="E34" s="368" t="n"/>
      <c r="F34" s="92" t="inlineStr">
        <is>
          <t xml:space="preserve">Cheltuieli privind dobânzile </t>
        </is>
      </c>
      <c r="G34" s="87">
        <f>IFERROR(B34/B$25,"")</f>
        <v/>
      </c>
      <c r="H34" s="87">
        <f>IFERROR(C34/C$25,"")</f>
        <v/>
      </c>
      <c r="I34" s="87">
        <f>IFERROR(D34/D$25,"")</f>
        <v/>
      </c>
      <c r="J34" s="368" t="n"/>
      <c r="K34" s="92" t="inlineStr">
        <is>
          <t xml:space="preserve">Cheltuieli privind dobânzile </t>
        </is>
      </c>
      <c r="L34" s="87">
        <f>IFERROR((C34-B34)/B34,"")</f>
        <v/>
      </c>
      <c r="M34" s="87">
        <f>IFERROR((D34-C34)/C34,"")</f>
        <v/>
      </c>
      <c r="N34" s="369" t="n"/>
      <c r="O34" s="369" t="n"/>
      <c r="P34" s="370" t="n"/>
      <c r="Q34" s="370" t="n"/>
    </row>
    <row r="35" ht="15.6" customFormat="1" customHeight="1" s="372">
      <c r="A35" s="92">
        <f>'1B-ContPP'!A35</f>
        <v/>
      </c>
      <c r="B35" s="93">
        <f>'1B-ContPP'!B35</f>
        <v/>
      </c>
      <c r="C35" s="93">
        <f>'1B-ContPP'!C35</f>
        <v/>
      </c>
      <c r="D35" s="93">
        <f>'1B-ContPP'!D35</f>
        <v/>
      </c>
      <c r="E35" s="368" t="n"/>
      <c r="F35" s="92" t="inlineStr">
        <is>
          <t xml:space="preserve">Alte cheltuieli financiare  </t>
        </is>
      </c>
      <c r="G35" s="87">
        <f>IFERROR(B35/B$25,"")</f>
        <v/>
      </c>
      <c r="H35" s="87">
        <f>IFERROR(C35/C$25,"")</f>
        <v/>
      </c>
      <c r="I35" s="87">
        <f>IFERROR(D35/D$25,"")</f>
        <v/>
      </c>
      <c r="J35" s="368" t="n"/>
      <c r="K35" s="92" t="inlineStr">
        <is>
          <t xml:space="preserve">Alte cheltuieli financiare  </t>
        </is>
      </c>
      <c r="L35" s="87">
        <f>IFERROR((C35-B35)/B35,"")</f>
        <v/>
      </c>
      <c r="M35" s="87">
        <f>IFERROR((D35-C35)/C35,"")</f>
        <v/>
      </c>
      <c r="N35" s="369" t="n"/>
      <c r="O35" s="369" t="n"/>
      <c r="P35" s="370" t="n"/>
      <c r="Q35" s="370" t="n"/>
    </row>
    <row r="36" ht="15.6" customFormat="1" customHeight="1" s="91">
      <c r="A36" s="366">
        <f>'1B-ContPP'!A36</f>
        <v/>
      </c>
      <c r="B36" s="85">
        <f>'1B-ContPP'!B36</f>
        <v/>
      </c>
      <c r="C36" s="85">
        <f>'1B-ContPP'!C36</f>
        <v/>
      </c>
      <c r="D36" s="85">
        <f>'1B-ContPP'!D36</f>
        <v/>
      </c>
      <c r="E36" s="170" t="n"/>
      <c r="F36" s="366" t="inlineStr">
        <is>
          <t>Cheltuieli financiare</t>
        </is>
      </c>
      <c r="G36" s="88">
        <f>IFERROR(B36/B$25,"")</f>
        <v/>
      </c>
      <c r="H36" s="88">
        <f>IFERROR(C36/C$25,"")</f>
        <v/>
      </c>
      <c r="I36" s="88">
        <f>IFERROR(D36/D$25,"")</f>
        <v/>
      </c>
      <c r="J36" s="170" t="n"/>
      <c r="K36" s="366" t="inlineStr">
        <is>
          <t>Cheltuieli financiare</t>
        </is>
      </c>
      <c r="L36" s="88">
        <f>IFERROR((C36-B36)/B36,"")</f>
        <v/>
      </c>
      <c r="M36" s="88">
        <f>IFERROR((D36-C36)/C36,"")</f>
        <v/>
      </c>
      <c r="N36" s="89" t="n"/>
      <c r="O36" s="89" t="n"/>
      <c r="P36" s="90" t="n"/>
      <c r="Q36" s="90" t="n"/>
    </row>
    <row r="37" ht="15.6" customFormat="1" customHeight="1" s="372">
      <c r="A37" s="92">
        <f>'1B-ContPP'!A37</f>
        <v/>
      </c>
      <c r="B37" s="93">
        <f>'1B-ContPP'!B37</f>
        <v/>
      </c>
      <c r="C37" s="93">
        <f>'1B-ContPP'!C37</f>
        <v/>
      </c>
      <c r="D37" s="93">
        <f>'1B-ContPP'!D37</f>
        <v/>
      </c>
      <c r="E37" s="368" t="n"/>
      <c r="F37" s="92" t="inlineStr">
        <is>
          <t>Rezultatul financiar</t>
        </is>
      </c>
      <c r="G37" s="87">
        <f>IFERROR(B37/B$25,"")</f>
        <v/>
      </c>
      <c r="H37" s="87">
        <f>IFERROR(C37/C$25,"")</f>
        <v/>
      </c>
      <c r="I37" s="87">
        <f>IFERROR(D37/D$25,"")</f>
        <v/>
      </c>
      <c r="J37" s="368" t="n"/>
      <c r="K37" s="92" t="inlineStr">
        <is>
          <t>Rezultatul financiar</t>
        </is>
      </c>
      <c r="L37" s="87">
        <f>IFERROR((C37-B37)/B37,"")</f>
        <v/>
      </c>
      <c r="M37" s="87">
        <f>IFERROR((D37-C37)/C37,"")</f>
        <v/>
      </c>
      <c r="N37" s="369" t="n"/>
      <c r="O37" s="369" t="n"/>
      <c r="P37" s="370" t="n"/>
      <c r="Q37" s="370" t="n"/>
    </row>
    <row r="38" ht="15.6" customFormat="1" customHeight="1" s="91">
      <c r="A38" s="366">
        <f>'1B-ContPP'!A40</f>
        <v/>
      </c>
      <c r="B38" s="85">
        <f>'1B-ContPP'!B40</f>
        <v/>
      </c>
      <c r="C38" s="85">
        <f>'1B-ContPP'!C40</f>
        <v/>
      </c>
      <c r="D38" s="85">
        <f>'1B-ContPP'!D40</f>
        <v/>
      </c>
      <c r="E38" s="170" t="n"/>
      <c r="F38" s="366" t="inlineStr">
        <is>
          <t>Rezultatul curent</t>
        </is>
      </c>
      <c r="G38" s="88">
        <f>IFERROR(B38/B$25,"")</f>
        <v/>
      </c>
      <c r="H38" s="88">
        <f>IFERROR(C38/C$25,"")</f>
        <v/>
      </c>
      <c r="I38" s="88">
        <f>IFERROR(D38/D$25,"")</f>
        <v/>
      </c>
      <c r="J38" s="170" t="n"/>
      <c r="K38" s="366" t="inlineStr">
        <is>
          <t>Rezultatul curent</t>
        </is>
      </c>
      <c r="L38" s="88">
        <f>IFERROR((C38-B38)/B38,"")</f>
        <v/>
      </c>
      <c r="M38" s="88">
        <f>IFERROR((D38-C38)/C38,"")</f>
        <v/>
      </c>
      <c r="N38" s="89" t="n"/>
      <c r="O38" s="89" t="n"/>
      <c r="P38" s="90" t="n"/>
      <c r="Q38" s="90" t="n"/>
    </row>
    <row r="39" ht="15.6" customFormat="1" customHeight="1" s="91">
      <c r="A39" s="366">
        <f>'1B-ContPP'!A43</f>
        <v/>
      </c>
      <c r="B39" s="85">
        <f>'1B-ContPP'!B43</f>
        <v/>
      </c>
      <c r="C39" s="85">
        <f>'1B-ContPP'!C43</f>
        <v/>
      </c>
      <c r="D39" s="85">
        <f>'1B-ContPP'!D43</f>
        <v/>
      </c>
      <c r="E39" s="170" t="n"/>
      <c r="F39" s="366" t="inlineStr">
        <is>
          <t>Venituri extraordinare</t>
        </is>
      </c>
      <c r="G39" s="88">
        <f>IFERROR(B39/B$25,"")</f>
        <v/>
      </c>
      <c r="H39" s="88">
        <f>IFERROR(C39/C$25,"")</f>
        <v/>
      </c>
      <c r="I39" s="88">
        <f>IFERROR(D39/D$25,"")</f>
        <v/>
      </c>
      <c r="J39" s="170" t="n"/>
      <c r="K39" s="366" t="inlineStr">
        <is>
          <t>Venituri extraordinare</t>
        </is>
      </c>
      <c r="L39" s="88">
        <f>IFERROR((C39-B39)/B39,"")</f>
        <v/>
      </c>
      <c r="M39" s="88">
        <f>IFERROR((D39-C39)/C39,"")</f>
        <v/>
      </c>
      <c r="N39" s="89" t="n"/>
      <c r="O39" s="89" t="n"/>
      <c r="P39" s="90" t="n"/>
      <c r="Q39" s="90" t="n"/>
    </row>
    <row r="40" ht="15.6" customFormat="1" customHeight="1" s="91">
      <c r="A40" s="366">
        <f>'1B-ContPP'!A44</f>
        <v/>
      </c>
      <c r="B40" s="85">
        <f>'1B-ContPP'!B44</f>
        <v/>
      </c>
      <c r="C40" s="85">
        <f>'1B-ContPP'!C44</f>
        <v/>
      </c>
      <c r="D40" s="85">
        <f>'1B-ContPP'!D44</f>
        <v/>
      </c>
      <c r="E40" s="170" t="n"/>
      <c r="F40" s="366" t="inlineStr">
        <is>
          <t>Cheltuieli extraordinare</t>
        </is>
      </c>
      <c r="G40" s="88">
        <f>IFERROR(B40/B$25,"")</f>
        <v/>
      </c>
      <c r="H40" s="88">
        <f>IFERROR(C40/C$25,"")</f>
        <v/>
      </c>
      <c r="I40" s="88">
        <f>IFERROR(D40/D$25,"")</f>
        <v/>
      </c>
      <c r="J40" s="170" t="n"/>
      <c r="K40" s="366" t="inlineStr">
        <is>
          <t>Cheltuieli extraordinare</t>
        </is>
      </c>
      <c r="L40" s="88">
        <f>IFERROR((C40-B40)/B40,"")</f>
        <v/>
      </c>
      <c r="M40" s="88">
        <f>IFERROR((D40-C40)/C40,"")</f>
        <v/>
      </c>
      <c r="N40" s="89" t="n"/>
      <c r="O40" s="89" t="n"/>
      <c r="P40" s="90" t="n"/>
      <c r="Q40" s="90" t="n"/>
    </row>
    <row r="41" ht="15.6" customFormat="1" customHeight="1" s="91">
      <c r="A41" s="366">
        <f>'1B-ContPP'!A45</f>
        <v/>
      </c>
      <c r="B41" s="85">
        <f>'1B-ContPP'!B45</f>
        <v/>
      </c>
      <c r="C41" s="85">
        <f>'1B-ContPP'!C45</f>
        <v/>
      </c>
      <c r="D41" s="85">
        <f>'1B-ContPP'!D45</f>
        <v/>
      </c>
      <c r="E41" s="170" t="n"/>
      <c r="F41" s="366" t="inlineStr">
        <is>
          <t>Rezultatul extraordinar</t>
        </is>
      </c>
      <c r="G41" s="88">
        <f>IFERROR(B41/B$25,"")</f>
        <v/>
      </c>
      <c r="H41" s="88">
        <f>IFERROR(C41/C$25,"")</f>
        <v/>
      </c>
      <c r="I41" s="88">
        <f>IFERROR(D41/D$25,"")</f>
        <v/>
      </c>
      <c r="J41" s="170" t="n"/>
      <c r="K41" s="366" t="inlineStr">
        <is>
          <t>Rezultatul extraordinar</t>
        </is>
      </c>
      <c r="L41" s="88">
        <f>IFERROR((C41-B41)/B41,"")</f>
        <v/>
      </c>
      <c r="M41" s="88">
        <f>IFERROR((D41-C41)/C41,"")</f>
        <v/>
      </c>
      <c r="N41" s="89" t="n"/>
      <c r="O41" s="89" t="n"/>
      <c r="P41" s="90" t="n"/>
      <c r="Q41" s="90" t="n"/>
    </row>
    <row r="42" ht="15.6" customFormat="1" customHeight="1" s="91">
      <c r="A42" s="366">
        <f>'1B-ContPP'!A48</f>
        <v/>
      </c>
      <c r="B42" s="85">
        <f>'1B-ContPP'!B48</f>
        <v/>
      </c>
      <c r="C42" s="85">
        <f>'1B-ContPP'!C48</f>
        <v/>
      </c>
      <c r="D42" s="85">
        <f>'1B-ContPP'!D48</f>
        <v/>
      </c>
      <c r="E42" s="170" t="n"/>
      <c r="F42" s="366" t="inlineStr">
        <is>
          <t>Venituri totale</t>
        </is>
      </c>
      <c r="G42" s="88">
        <f>IFERROR(B42/B$25,"")</f>
        <v/>
      </c>
      <c r="H42" s="88">
        <f>IFERROR(C42/C$25,"")</f>
        <v/>
      </c>
      <c r="I42" s="88">
        <f>IFERROR(D42/D$25,"")</f>
        <v/>
      </c>
      <c r="J42" s="170" t="n"/>
      <c r="K42" s="366" t="inlineStr">
        <is>
          <t>Venituri totale</t>
        </is>
      </c>
      <c r="L42" s="88">
        <f>IFERROR((C42-B42)/B42,"")</f>
        <v/>
      </c>
      <c r="M42" s="88">
        <f>IFERROR((D42-C42)/C42,"")</f>
        <v/>
      </c>
      <c r="N42" s="89" t="n"/>
      <c r="O42" s="89" t="n"/>
      <c r="P42" s="90" t="n"/>
      <c r="Q42" s="90" t="n"/>
    </row>
    <row r="43" ht="15.6" customFormat="1" customHeight="1" s="372">
      <c r="A43" s="366">
        <f>'1B-ContPP'!A49</f>
        <v/>
      </c>
      <c r="B43" s="85">
        <f>'1B-ContPP'!B49</f>
        <v/>
      </c>
      <c r="C43" s="85">
        <f>'1B-ContPP'!C49</f>
        <v/>
      </c>
      <c r="D43" s="85">
        <f>'1B-ContPP'!D49</f>
        <v/>
      </c>
      <c r="E43" s="368" t="n"/>
      <c r="F43" s="366" t="inlineStr">
        <is>
          <t>Cheltuieli totale</t>
        </is>
      </c>
      <c r="G43" s="88">
        <f>IFERROR(B43/B$25,"")</f>
        <v/>
      </c>
      <c r="H43" s="88">
        <f>IFERROR(C43/C$25,"")</f>
        <v/>
      </c>
      <c r="I43" s="88">
        <f>IFERROR(D43/D$25,"")</f>
        <v/>
      </c>
      <c r="J43" s="170" t="n"/>
      <c r="K43" s="366" t="inlineStr">
        <is>
          <t>Cheltuieli totale</t>
        </is>
      </c>
      <c r="L43" s="88">
        <f>IFERROR((C43-B43)/B43,"")</f>
        <v/>
      </c>
      <c r="M43" s="88">
        <f>IFERROR((D43-C43)/C43,"")</f>
        <v/>
      </c>
      <c r="N43" s="369" t="n"/>
      <c r="O43" s="369" t="n"/>
      <c r="P43" s="370" t="n"/>
      <c r="Q43" s="370" t="n"/>
    </row>
    <row r="44" ht="15.6" customFormat="1" customHeight="1" s="91">
      <c r="A44" s="366">
        <f>'1B-ContPP'!A50</f>
        <v/>
      </c>
      <c r="B44" s="85">
        <f>'1B-ContPP'!B50</f>
        <v/>
      </c>
      <c r="C44" s="85">
        <f>'1B-ContPP'!C50</f>
        <v/>
      </c>
      <c r="D44" s="85">
        <f>'1B-ContPP'!D50</f>
        <v/>
      </c>
      <c r="E44" s="170" t="n"/>
      <c r="F44" s="366" t="inlineStr">
        <is>
          <t>Rezultatul brut</t>
        </is>
      </c>
      <c r="G44" s="88">
        <f>IFERROR(B44/B$25,"")</f>
        <v/>
      </c>
      <c r="H44" s="88">
        <f>IFERROR(C44/C$25,"")</f>
        <v/>
      </c>
      <c r="I44" s="88">
        <f>IFERROR(D44/D$25,"")</f>
        <v/>
      </c>
      <c r="J44" s="170" t="n"/>
      <c r="K44" s="366" t="inlineStr">
        <is>
          <t>Rezultatul brut</t>
        </is>
      </c>
      <c r="L44" s="88">
        <f>IFERROR((C44-B44)/B44,"")</f>
        <v/>
      </c>
      <c r="M44" s="88">
        <f>IFERROR((D44-C44)/C44,"")</f>
        <v/>
      </c>
      <c r="N44" s="89" t="n"/>
      <c r="O44" s="89" t="n"/>
      <c r="P44" s="90" t="n"/>
      <c r="Q44" s="90" t="n"/>
    </row>
    <row r="45" ht="15.6" customFormat="1" customHeight="1" s="372">
      <c r="A45" s="92">
        <f>'1B-ContPP'!A53</f>
        <v/>
      </c>
      <c r="B45" s="93">
        <f>'1B-ContPP'!B53</f>
        <v/>
      </c>
      <c r="C45" s="93">
        <f>'1B-ContPP'!C53</f>
        <v/>
      </c>
      <c r="D45" s="93">
        <f>'1B-ContPP'!D53</f>
        <v/>
      </c>
      <c r="E45" s="368" t="n"/>
      <c r="F45" s="92" t="inlineStr">
        <is>
          <t>Impozit pe profit</t>
        </is>
      </c>
      <c r="G45" s="87">
        <f>IFERROR(B45/B$25,"")</f>
        <v/>
      </c>
      <c r="H45" s="87">
        <f>IFERROR(C45/C$25,"")</f>
        <v/>
      </c>
      <c r="I45" s="87">
        <f>IFERROR(D45/D$25,"")</f>
        <v/>
      </c>
      <c r="J45" s="368" t="n"/>
      <c r="K45" s="92" t="inlineStr">
        <is>
          <t>Impozit pe profit</t>
        </is>
      </c>
      <c r="L45" s="87">
        <f>IFERROR((C45-B45)/B45,"")</f>
        <v/>
      </c>
      <c r="M45" s="87">
        <f>IFERROR((D45-C45)/C45,"")</f>
        <v/>
      </c>
      <c r="N45" s="369" t="n"/>
      <c r="O45" s="369" t="n"/>
      <c r="P45" s="370" t="n"/>
      <c r="Q45" s="370" t="n"/>
    </row>
    <row r="46" ht="24" customFormat="1" customHeight="1" s="372">
      <c r="A46" s="92">
        <f>'1B-ContPP'!A54</f>
        <v/>
      </c>
      <c r="B46" s="93">
        <f>'1B-ContPP'!B54</f>
        <v/>
      </c>
      <c r="C46" s="93">
        <f>'1B-ContPP'!C54</f>
        <v/>
      </c>
      <c r="D46" s="93">
        <f>'1B-ContPP'!D54</f>
        <v/>
      </c>
      <c r="E46" s="368" t="n"/>
      <c r="F46" s="92">
        <f>$A$46</f>
        <v/>
      </c>
      <c r="G46" s="87">
        <f>IFERROR(B46/B$25,"")</f>
        <v/>
      </c>
      <c r="H46" s="87">
        <f>IFERROR(C46/C$25,"")</f>
        <v/>
      </c>
      <c r="I46" s="87">
        <f>IFERROR(D46/D$25,"")</f>
        <v/>
      </c>
      <c r="J46" s="368" t="n"/>
      <c r="K46" s="92">
        <f>F46</f>
        <v/>
      </c>
      <c r="L46" s="87">
        <f>IFERROR((C46-B46)/B46,"")</f>
        <v/>
      </c>
      <c r="M46" s="87">
        <f>IFERROR((D46-C46)/C46,"")</f>
        <v/>
      </c>
      <c r="N46" s="369" t="n"/>
      <c r="O46" s="369" t="n"/>
      <c r="P46" s="370" t="n"/>
      <c r="Q46" s="370" t="n"/>
    </row>
    <row r="47" ht="15.6" customFormat="1" customHeight="1" s="91">
      <c r="A47" s="366">
        <f>'1B-ContPP'!A55</f>
        <v/>
      </c>
      <c r="B47" s="85">
        <f>'1B-ContPP'!B55</f>
        <v/>
      </c>
      <c r="C47" s="85">
        <f>'1B-ContPP'!C55</f>
        <v/>
      </c>
      <c r="D47" s="85">
        <f>'1B-ContPP'!D55</f>
        <v/>
      </c>
      <c r="E47" s="170" t="n"/>
      <c r="F47" s="366" t="inlineStr">
        <is>
          <t>Rezultatul net</t>
        </is>
      </c>
      <c r="G47" s="88">
        <f>IFERROR(B47/B$25,"")</f>
        <v/>
      </c>
      <c r="H47" s="88">
        <f>IFERROR(C47/C$25,"")</f>
        <v/>
      </c>
      <c r="I47" s="88">
        <f>IFERROR(D47/D$25,"")</f>
        <v/>
      </c>
      <c r="J47" s="170" t="n"/>
      <c r="K47" s="366" t="inlineStr">
        <is>
          <t>Rezultatul net</t>
        </is>
      </c>
      <c r="L47" s="88">
        <f>IFERROR((C47-B47)/B47,"")</f>
        <v/>
      </c>
      <c r="M47" s="88">
        <f>IFERROR((D47-C47)/C47,"")</f>
        <v/>
      </c>
      <c r="N47" s="89" t="n"/>
      <c r="O47" s="89" t="n"/>
      <c r="P47" s="90" t="n"/>
      <c r="Q47" s="90" t="n"/>
    </row>
    <row r="48" ht="15.6" customFormat="1" customHeight="1" s="91">
      <c r="A48" s="366" t="inlineStr">
        <is>
          <t>EBT</t>
        </is>
      </c>
      <c r="B48" s="85">
        <f>B47+B45+B46</f>
        <v/>
      </c>
      <c r="C48" s="85">
        <f>C47+C45+C46</f>
        <v/>
      </c>
      <c r="D48" s="85">
        <f>D47+D45+D46</f>
        <v/>
      </c>
      <c r="E48" s="170" t="n"/>
      <c r="F48" s="366" t="inlineStr">
        <is>
          <t>EBT</t>
        </is>
      </c>
      <c r="G48" s="88">
        <f>IFERROR(B48/B$25,"")</f>
        <v/>
      </c>
      <c r="H48" s="88">
        <f>IFERROR(C48/C$25,"")</f>
        <v/>
      </c>
      <c r="I48" s="88">
        <f>IFERROR(D48/D$25,"")</f>
        <v/>
      </c>
      <c r="J48" s="170" t="n"/>
      <c r="K48" s="366" t="inlineStr">
        <is>
          <t>EBT</t>
        </is>
      </c>
      <c r="L48" s="88">
        <f>IFERROR((C48-B48)/B48,"")</f>
        <v/>
      </c>
      <c r="M48" s="88">
        <f>IFERROR((D48-C48)/C48,"")</f>
        <v/>
      </c>
      <c r="N48" s="89" t="n"/>
      <c r="O48" s="89" t="n"/>
      <c r="P48" s="90" t="n"/>
      <c r="Q48" s="90" t="n"/>
    </row>
    <row r="49" ht="15.6" customFormat="1" customHeight="1" s="372">
      <c r="A49" s="366" t="inlineStr">
        <is>
          <t>EBIT</t>
        </is>
      </c>
      <c r="B49" s="85">
        <f>B48+B34</f>
        <v/>
      </c>
      <c r="C49" s="85">
        <f>C48+C34</f>
        <v/>
      </c>
      <c r="D49" s="85">
        <f>D48+D34</f>
        <v/>
      </c>
      <c r="E49" s="368" t="n"/>
      <c r="F49" s="366" t="inlineStr">
        <is>
          <t>EBIT</t>
        </is>
      </c>
      <c r="G49" s="88">
        <f>IFERROR(B49/B$25,"")</f>
        <v/>
      </c>
      <c r="H49" s="88">
        <f>IFERROR(C49/C$25,"")</f>
        <v/>
      </c>
      <c r="I49" s="88">
        <f>IFERROR(D49/D$25,"")</f>
        <v/>
      </c>
      <c r="J49" s="170" t="n"/>
      <c r="K49" s="366" t="inlineStr">
        <is>
          <t>EBIT</t>
        </is>
      </c>
      <c r="L49" s="88">
        <f>IFERROR((C49-B49)/B49,"")</f>
        <v/>
      </c>
      <c r="M49" s="88">
        <f>IFERROR((D49-C49)/C49,"")</f>
        <v/>
      </c>
      <c r="N49" s="369" t="n"/>
      <c r="O49" s="369" t="n"/>
      <c r="P49" s="370" t="n"/>
      <c r="Q49" s="370" t="n"/>
    </row>
    <row r="50" ht="15.6" customFormat="1" customHeight="1" s="372">
      <c r="A50" s="366" t="inlineStr">
        <is>
          <t>EBITDA</t>
        </is>
      </c>
      <c r="B50" s="85">
        <f>B49+B33+B29</f>
        <v/>
      </c>
      <c r="C50" s="85">
        <f>C49+C33+C29</f>
        <v/>
      </c>
      <c r="D50" s="85">
        <f>D49+D33+D29</f>
        <v/>
      </c>
      <c r="E50" s="368" t="n"/>
      <c r="F50" s="366" t="inlineStr">
        <is>
          <t>EBITDA</t>
        </is>
      </c>
      <c r="G50" s="88">
        <f>IFERROR(B50/B$25,"")</f>
        <v/>
      </c>
      <c r="H50" s="88">
        <f>IFERROR(C50/C$25,"")</f>
        <v/>
      </c>
      <c r="I50" s="88">
        <f>IFERROR(D50/D$25,"")</f>
        <v/>
      </c>
      <c r="J50" s="170" t="n"/>
      <c r="K50" s="366" t="inlineStr">
        <is>
          <t>EBITDA</t>
        </is>
      </c>
      <c r="L50" s="88">
        <f>IFERROR((C50-B50)/B50,"")</f>
        <v/>
      </c>
      <c r="M50" s="88">
        <f>IFERROR((D50-C50)/C50,"")</f>
        <v/>
      </c>
      <c r="N50" s="369" t="n"/>
      <c r="O50" s="369" t="n"/>
      <c r="P50" s="370" t="n"/>
      <c r="Q50" s="370" t="n"/>
    </row>
    <row r="51" ht="15.6" customFormat="1" customHeight="1" s="372">
      <c r="A51" s="368" t="n"/>
      <c r="B51" s="162" t="n"/>
      <c r="C51" s="162" t="n"/>
      <c r="D51" s="162" t="n"/>
      <c r="E51" s="368" t="n"/>
      <c r="F51" s="368" t="n"/>
      <c r="G51" s="103" t="n"/>
      <c r="H51" s="103" t="n"/>
      <c r="I51" s="103" t="n"/>
      <c r="J51" s="368" t="n"/>
      <c r="K51" s="368" t="n"/>
      <c r="L51" s="103" t="n"/>
      <c r="M51" s="103" t="n"/>
      <c r="N51" s="369" t="n"/>
      <c r="O51" s="369" t="n"/>
      <c r="P51" s="370" t="n"/>
      <c r="Q51" s="370" t="n"/>
    </row>
    <row r="52" ht="15.6" customFormat="1" customHeight="1" s="372">
      <c r="A52" s="368" t="n"/>
      <c r="B52" s="162" t="n"/>
      <c r="C52" s="162" t="n"/>
      <c r="D52" s="162" t="n"/>
      <c r="E52" s="368" t="n"/>
      <c r="F52" s="368" t="n"/>
      <c r="G52" s="103" t="n"/>
      <c r="H52" s="103" t="n"/>
      <c r="I52" s="103" t="n"/>
      <c r="J52" s="368" t="n"/>
      <c r="K52" s="368" t="n"/>
      <c r="L52" s="103" t="n"/>
      <c r="M52" s="103" t="n"/>
      <c r="N52" s="369" t="n"/>
      <c r="O52" s="369" t="n"/>
      <c r="P52" s="370" t="n"/>
      <c r="Q52" s="370" t="n"/>
    </row>
    <row r="53" ht="15.6" customFormat="1" customHeight="1" s="372">
      <c r="A53" s="368" t="n"/>
      <c r="B53" s="162" t="n"/>
      <c r="C53" s="162" t="n"/>
      <c r="D53" s="162" t="n"/>
      <c r="E53" s="368" t="n"/>
      <c r="F53" s="368" t="n"/>
      <c r="G53" s="103" t="n"/>
      <c r="H53" s="103" t="n"/>
      <c r="I53" s="103" t="n"/>
      <c r="J53" s="368" t="n"/>
      <c r="K53" s="368" t="n"/>
      <c r="L53" s="103" t="n"/>
      <c r="M53" s="103" t="n"/>
      <c r="N53" s="369" t="n"/>
      <c r="O53" s="369" t="n"/>
      <c r="P53" s="370" t="n"/>
      <c r="Q53" s="370" t="n"/>
    </row>
    <row r="54" ht="15.6" customFormat="1" customHeight="1" s="372">
      <c r="A54" s="368" t="n"/>
      <c r="B54" s="162" t="n"/>
      <c r="C54" s="162" t="n"/>
      <c r="D54" s="162" t="n"/>
      <c r="E54" s="368" t="n"/>
      <c r="F54" s="368" t="n"/>
      <c r="G54" s="103" t="n"/>
      <c r="H54" s="103" t="n"/>
      <c r="I54" s="103" t="n"/>
      <c r="J54" s="368" t="n"/>
      <c r="K54" s="368" t="n"/>
      <c r="L54" s="103" t="n"/>
      <c r="M54" s="103" t="n"/>
      <c r="N54" s="369" t="n"/>
      <c r="O54" s="369" t="n"/>
      <c r="P54" s="370" t="n"/>
      <c r="Q54" s="370" t="n"/>
    </row>
    <row r="55" ht="15.6" customFormat="1" customHeight="1" s="372">
      <c r="A55" s="368" t="n"/>
      <c r="B55" s="162" t="n"/>
      <c r="C55" s="162" t="n"/>
      <c r="D55" s="162" t="n"/>
      <c r="E55" s="368" t="n"/>
      <c r="F55" s="368" t="n"/>
      <c r="G55" s="103" t="n"/>
      <c r="H55" s="103" t="n"/>
      <c r="I55" s="103" t="n"/>
      <c r="J55" s="368" t="n"/>
      <c r="K55" s="368" t="n"/>
      <c r="L55" s="103" t="n"/>
      <c r="M55" s="103" t="n"/>
      <c r="N55" s="369" t="n"/>
      <c r="O55" s="369" t="n"/>
      <c r="P55" s="370" t="n"/>
      <c r="Q55" s="370" t="n"/>
    </row>
    <row r="56" ht="15.6" customFormat="1" customHeight="1" s="372">
      <c r="A56" s="368" t="n"/>
      <c r="B56" s="162" t="n"/>
      <c r="C56" s="162" t="n"/>
      <c r="D56" s="162" t="n"/>
      <c r="E56" s="368" t="n"/>
      <c r="F56" s="368" t="n"/>
      <c r="G56" s="103" t="n"/>
      <c r="H56" s="103" t="n"/>
      <c r="I56" s="103" t="n"/>
      <c r="J56" s="368" t="n"/>
      <c r="K56" s="368" t="n"/>
      <c r="L56" s="103" t="n"/>
      <c r="M56" s="103" t="n"/>
      <c r="N56" s="369" t="n"/>
      <c r="O56" s="369" t="n"/>
      <c r="P56" s="370" t="n"/>
      <c r="Q56" s="370" t="n"/>
    </row>
    <row r="57" ht="15.6" customFormat="1" customHeight="1" s="372">
      <c r="A57" s="368" t="n"/>
      <c r="B57" s="162" t="n"/>
      <c r="C57" s="162" t="n"/>
      <c r="D57" s="162" t="n"/>
      <c r="E57" s="368" t="n"/>
      <c r="F57" s="368" t="n"/>
      <c r="G57" s="103" t="n"/>
      <c r="H57" s="103" t="n"/>
      <c r="I57" s="103" t="n"/>
      <c r="J57" s="368" t="n"/>
      <c r="K57" s="368" t="n"/>
      <c r="L57" s="103" t="n"/>
      <c r="M57" s="103" t="n"/>
      <c r="N57" s="369" t="n"/>
      <c r="O57" s="369" t="n"/>
      <c r="P57" s="370" t="n"/>
      <c r="Q57" s="370" t="n"/>
    </row>
    <row r="58" ht="15.6" customFormat="1" customHeight="1" s="372">
      <c r="A58" s="368" t="n"/>
      <c r="B58" s="162" t="n"/>
      <c r="C58" s="162" t="n"/>
      <c r="D58" s="162" t="n"/>
      <c r="E58" s="368" t="n"/>
      <c r="F58" s="368" t="n"/>
      <c r="G58" s="103" t="n"/>
      <c r="H58" s="103" t="n"/>
      <c r="I58" s="103" t="n"/>
      <c r="J58" s="368" t="n"/>
      <c r="K58" s="368" t="n"/>
      <c r="L58" s="103" t="n"/>
      <c r="M58" s="103" t="n"/>
      <c r="N58" s="369" t="n"/>
      <c r="O58" s="369" t="n"/>
      <c r="P58" s="370" t="n"/>
      <c r="Q58" s="370" t="n"/>
    </row>
    <row r="59" ht="15.6" customFormat="1" customHeight="1" s="372">
      <c r="A59" s="368" t="n"/>
      <c r="B59" s="162" t="n"/>
      <c r="C59" s="162" t="n"/>
      <c r="D59" s="162" t="n"/>
      <c r="E59" s="368" t="n"/>
      <c r="F59" s="368" t="n"/>
      <c r="G59" s="103" t="n"/>
      <c r="H59" s="103" t="n"/>
      <c r="I59" s="103" t="n"/>
      <c r="J59" s="368" t="n"/>
      <c r="K59" s="368" t="n"/>
      <c r="L59" s="103" t="n"/>
      <c r="M59" s="103" t="n"/>
      <c r="N59" s="369" t="n"/>
      <c r="O59" s="369" t="n"/>
      <c r="P59" s="370" t="n"/>
      <c r="Q59" s="370" t="n"/>
    </row>
    <row r="60" ht="15.6" customFormat="1" customHeight="1" s="372">
      <c r="A60" s="368" t="n"/>
      <c r="B60" s="162" t="n"/>
      <c r="C60" s="162" t="n"/>
      <c r="D60" s="162" t="n"/>
      <c r="E60" s="368" t="n"/>
      <c r="F60" s="368" t="n"/>
      <c r="G60" s="103" t="n"/>
      <c r="H60" s="103" t="n"/>
      <c r="I60" s="103" t="n"/>
      <c r="J60" s="368" t="n"/>
      <c r="K60" s="368" t="n"/>
      <c r="L60" s="103" t="n"/>
      <c r="M60" s="103" t="n"/>
      <c r="N60" s="369" t="n"/>
      <c r="O60" s="369" t="n"/>
      <c r="P60" s="370" t="n"/>
      <c r="Q60" s="370" t="n"/>
    </row>
    <row r="61" ht="15.6" customFormat="1" customHeight="1" s="372">
      <c r="A61" s="170" t="n"/>
      <c r="B61" s="162" t="n"/>
      <c r="C61" s="162" t="n"/>
      <c r="D61" s="162" t="n"/>
      <c r="E61" s="368" t="n"/>
      <c r="F61" s="368" t="n"/>
      <c r="G61" s="103" t="n"/>
      <c r="H61" s="103" t="n"/>
      <c r="I61" s="103" t="n"/>
      <c r="J61" s="368" t="n"/>
      <c r="K61" s="368" t="n"/>
      <c r="L61" s="103" t="n"/>
      <c r="M61" s="103" t="n"/>
      <c r="N61" s="369" t="n"/>
      <c r="O61" s="369" t="n"/>
      <c r="P61" s="370" t="n"/>
      <c r="Q61" s="370" t="n"/>
    </row>
    <row r="62" ht="15.6" customFormat="1" customHeight="1" s="372">
      <c r="A62" s="368" t="n"/>
      <c r="B62" s="162" t="n"/>
      <c r="C62" s="162" t="n"/>
      <c r="D62" s="162" t="n"/>
      <c r="E62" s="368" t="n"/>
      <c r="F62" s="368" t="n"/>
      <c r="G62" s="103" t="n"/>
      <c r="H62" s="103" t="n"/>
      <c r="I62" s="103" t="n"/>
      <c r="J62" s="368" t="n"/>
      <c r="K62" s="368" t="n"/>
      <c r="L62" s="103" t="n"/>
      <c r="M62" s="103" t="n"/>
      <c r="N62" s="369" t="n"/>
      <c r="O62" s="369" t="n"/>
      <c r="P62" s="370" t="n"/>
      <c r="Q62" s="370" t="n"/>
    </row>
    <row r="63" ht="15.6" customFormat="1" customHeight="1" s="372">
      <c r="A63" s="368" t="n"/>
      <c r="B63" s="162" t="n"/>
      <c r="C63" s="162" t="n"/>
      <c r="D63" s="162" t="n"/>
      <c r="E63" s="368" t="n"/>
      <c r="F63" s="368" t="n"/>
      <c r="G63" s="103" t="n"/>
      <c r="H63" s="103" t="n"/>
      <c r="I63" s="103" t="n"/>
      <c r="J63" s="368" t="n"/>
      <c r="K63" s="368" t="n"/>
      <c r="L63" s="103" t="n"/>
      <c r="M63" s="103" t="n"/>
      <c r="N63" s="369" t="n"/>
      <c r="O63" s="369" t="n"/>
      <c r="P63" s="370" t="n"/>
      <c r="Q63" s="370" t="n"/>
    </row>
    <row r="64" ht="15.6" customFormat="1" customHeight="1" s="372">
      <c r="A64" s="368" t="n"/>
      <c r="B64" s="162" t="n"/>
      <c r="C64" s="162" t="n"/>
      <c r="D64" s="162" t="n"/>
      <c r="E64" s="368" t="n"/>
      <c r="F64" s="368" t="n"/>
      <c r="G64" s="103" t="n"/>
      <c r="H64" s="103" t="n"/>
      <c r="I64" s="103" t="n"/>
      <c r="J64" s="368" t="n"/>
      <c r="K64" s="368" t="n"/>
      <c r="L64" s="103" t="n"/>
      <c r="M64" s="103" t="n"/>
      <c r="N64" s="369" t="n"/>
      <c r="O64" s="369" t="n"/>
      <c r="P64" s="370" t="n"/>
      <c r="Q64" s="370" t="n"/>
    </row>
    <row r="65" ht="15.6" customFormat="1" customHeight="1" s="372">
      <c r="A65" s="368" t="n"/>
      <c r="B65" s="162" t="n"/>
      <c r="C65" s="162" t="n"/>
      <c r="D65" s="162" t="n"/>
      <c r="E65" s="368" t="n"/>
      <c r="F65" s="368" t="n"/>
      <c r="G65" s="103" t="n"/>
      <c r="H65" s="103" t="n"/>
      <c r="I65" s="103" t="n"/>
      <c r="J65" s="368" t="n"/>
      <c r="K65" s="368" t="n"/>
      <c r="L65" s="103" t="n"/>
      <c r="M65" s="103" t="n"/>
      <c r="N65" s="369" t="n"/>
      <c r="O65" s="369" t="n"/>
      <c r="P65" s="370" t="n"/>
      <c r="Q65" s="370" t="n"/>
    </row>
    <row r="66" ht="15.6" customFormat="1" customHeight="1" s="372">
      <c r="A66" s="368" t="n"/>
      <c r="B66" s="162" t="n"/>
      <c r="C66" s="162" t="n"/>
      <c r="D66" s="162" t="n"/>
      <c r="E66" s="368" t="n"/>
      <c r="F66" s="368" t="n"/>
      <c r="G66" s="103" t="n"/>
      <c r="H66" s="103" t="n"/>
      <c r="I66" s="103" t="n"/>
      <c r="J66" s="368" t="n"/>
      <c r="K66" s="368" t="n"/>
      <c r="L66" s="103" t="n"/>
      <c r="M66" s="103" t="n"/>
      <c r="N66" s="369" t="n"/>
      <c r="O66" s="369" t="n"/>
      <c r="P66" s="370" t="n"/>
      <c r="Q66" s="370" t="n"/>
    </row>
    <row r="67" ht="15.6" customFormat="1" customHeight="1" s="372">
      <c r="A67" s="368" t="n"/>
      <c r="B67" s="162" t="n"/>
      <c r="C67" s="162" t="n"/>
      <c r="D67" s="162" t="n"/>
      <c r="E67" s="368" t="n"/>
      <c r="F67" s="368" t="n"/>
      <c r="G67" s="103" t="n"/>
      <c r="H67" s="103" t="n"/>
      <c r="I67" s="103" t="n"/>
      <c r="J67" s="368" t="n"/>
      <c r="K67" s="368" t="n"/>
      <c r="L67" s="103" t="n"/>
      <c r="M67" s="103" t="n"/>
      <c r="N67" s="369" t="n"/>
      <c r="O67" s="369" t="n"/>
      <c r="P67" s="370" t="n"/>
      <c r="Q67" s="370" t="n"/>
    </row>
    <row r="68" ht="15.6" customFormat="1" customHeight="1" s="372">
      <c r="A68" s="368" t="n"/>
      <c r="B68" s="162" t="n"/>
      <c r="C68" s="162" t="n"/>
      <c r="D68" s="162" t="n"/>
      <c r="E68" s="368" t="n"/>
      <c r="F68" s="368" t="n"/>
      <c r="G68" s="103" t="n"/>
      <c r="H68" s="103" t="n"/>
      <c r="I68" s="103" t="n"/>
      <c r="J68" s="368" t="n"/>
      <c r="K68" s="368" t="n"/>
      <c r="L68" s="103" t="n"/>
      <c r="M68" s="103" t="n"/>
      <c r="N68" s="369" t="n"/>
      <c r="O68" s="369" t="n"/>
      <c r="P68" s="370" t="n"/>
      <c r="Q68" s="370" t="n"/>
    </row>
    <row r="69" ht="15.6" customFormat="1" customHeight="1" s="372">
      <c r="A69" s="368" t="n"/>
      <c r="B69" s="162" t="n"/>
      <c r="C69" s="162" t="n"/>
      <c r="D69" s="162" t="n"/>
      <c r="E69" s="368" t="n"/>
      <c r="F69" s="368" t="n"/>
      <c r="G69" s="103" t="n"/>
      <c r="H69" s="103" t="n"/>
      <c r="I69" s="103" t="n"/>
      <c r="J69" s="368" t="n"/>
      <c r="K69" s="368" t="n"/>
      <c r="L69" s="103" t="n"/>
      <c r="M69" s="103" t="n"/>
      <c r="N69" s="369" t="n"/>
      <c r="O69" s="369" t="n"/>
      <c r="P69" s="370" t="n"/>
      <c r="Q69" s="370" t="n"/>
    </row>
    <row r="70" ht="15.6" customFormat="1" customHeight="1" s="372">
      <c r="A70" s="368" t="n"/>
      <c r="B70" s="162" t="n"/>
      <c r="C70" s="162" t="n"/>
      <c r="D70" s="162" t="n"/>
      <c r="E70" s="368" t="n"/>
      <c r="F70" s="368" t="n"/>
      <c r="G70" s="103" t="n"/>
      <c r="H70" s="103" t="n"/>
      <c r="I70" s="103" t="n"/>
      <c r="J70" s="368" t="n"/>
      <c r="K70" s="368" t="n"/>
      <c r="L70" s="103" t="n"/>
      <c r="M70" s="103" t="n"/>
      <c r="N70" s="369" t="n"/>
      <c r="O70" s="369" t="n"/>
      <c r="P70" s="370" t="n"/>
      <c r="Q70" s="370" t="n"/>
    </row>
    <row r="71" ht="15.6" customFormat="1" customHeight="1" s="372">
      <c r="A71" s="368" t="n"/>
      <c r="B71" s="162" t="n"/>
      <c r="C71" s="162" t="n"/>
      <c r="D71" s="162" t="n"/>
      <c r="E71" s="368" t="n"/>
      <c r="F71" s="368" t="n"/>
      <c r="G71" s="103" t="n"/>
      <c r="H71" s="103" t="n"/>
      <c r="I71" s="103" t="n"/>
      <c r="J71" s="368" t="n"/>
      <c r="K71" s="368" t="n"/>
      <c r="L71" s="103" t="n"/>
      <c r="M71" s="103" t="n"/>
      <c r="N71" s="369" t="n"/>
      <c r="O71" s="369" t="n"/>
      <c r="P71" s="370" t="n"/>
      <c r="Q71" s="370" t="n"/>
    </row>
    <row r="72" ht="15.6" customFormat="1" customHeight="1" s="372">
      <c r="A72" s="368" t="n"/>
      <c r="B72" s="162" t="n"/>
      <c r="C72" s="162" t="n"/>
      <c r="D72" s="162" t="n"/>
      <c r="E72" s="368" t="n"/>
      <c r="F72" s="368" t="n"/>
      <c r="G72" s="103" t="n"/>
      <c r="H72" s="103" t="n"/>
      <c r="I72" s="103" t="n"/>
      <c r="J72" s="368" t="n"/>
      <c r="K72" s="368" t="n"/>
      <c r="L72" s="103" t="n"/>
      <c r="M72" s="103" t="n"/>
      <c r="N72" s="369" t="n"/>
      <c r="O72" s="369" t="n"/>
      <c r="P72" s="370" t="n"/>
      <c r="Q72" s="370" t="n"/>
    </row>
    <row r="73" ht="15.6" customFormat="1" customHeight="1" s="372">
      <c r="A73" s="368" t="n"/>
      <c r="B73" s="162" t="n"/>
      <c r="C73" s="162" t="n"/>
      <c r="D73" s="162" t="n"/>
      <c r="E73" s="368" t="n"/>
      <c r="F73" s="368" t="n"/>
      <c r="G73" s="103" t="n"/>
      <c r="H73" s="103" t="n"/>
      <c r="I73" s="103" t="n"/>
      <c r="J73" s="368" t="n"/>
      <c r="K73" s="368" t="n"/>
      <c r="L73" s="103" t="n"/>
      <c r="M73" s="103" t="n"/>
      <c r="N73" s="369" t="n"/>
      <c r="O73" s="369" t="n"/>
      <c r="P73" s="370" t="n"/>
      <c r="Q73" s="370" t="n"/>
    </row>
    <row r="74" ht="15.6" customFormat="1" customHeight="1" s="372">
      <c r="A74" s="368" t="n"/>
      <c r="B74" s="162" t="n"/>
      <c r="C74" s="162" t="n"/>
      <c r="D74" s="162" t="n"/>
      <c r="E74" s="368" t="n"/>
      <c r="F74" s="368" t="n"/>
      <c r="G74" s="103" t="n"/>
      <c r="H74" s="103" t="n"/>
      <c r="I74" s="103" t="n"/>
      <c r="J74" s="368" t="n"/>
      <c r="K74" s="368" t="n"/>
      <c r="L74" s="103" t="n"/>
      <c r="M74" s="103" t="n"/>
      <c r="N74" s="369" t="n"/>
      <c r="O74" s="369" t="n"/>
      <c r="P74" s="370" t="n"/>
      <c r="Q74" s="370" t="n"/>
    </row>
    <row r="75" ht="15.6" customFormat="1" customHeight="1" s="372">
      <c r="A75" s="368" t="n"/>
      <c r="B75" s="162" t="n"/>
      <c r="C75" s="162" t="n"/>
      <c r="D75" s="162" t="n"/>
      <c r="E75" s="368" t="n"/>
      <c r="F75" s="368" t="n"/>
      <c r="G75" s="103" t="n"/>
      <c r="H75" s="103" t="n"/>
      <c r="I75" s="103" t="n"/>
      <c r="J75" s="368" t="n"/>
      <c r="K75" s="368" t="n"/>
      <c r="L75" s="103" t="n"/>
      <c r="M75" s="103" t="n"/>
      <c r="N75" s="369" t="n"/>
      <c r="O75" s="369" t="n"/>
      <c r="P75" s="370" t="n"/>
      <c r="Q75" s="370" t="n"/>
    </row>
    <row r="76" ht="15.6" customFormat="1" customHeight="1" s="372">
      <c r="A76" s="368" t="n"/>
      <c r="B76" s="162" t="n"/>
      <c r="C76" s="162" t="n"/>
      <c r="D76" s="162" t="n"/>
      <c r="E76" s="368" t="n"/>
      <c r="F76" s="368" t="n"/>
      <c r="G76" s="103" t="n"/>
      <c r="H76" s="103" t="n"/>
      <c r="I76" s="103" t="n"/>
      <c r="J76" s="368" t="n"/>
      <c r="K76" s="368" t="n"/>
      <c r="L76" s="103" t="n"/>
      <c r="M76" s="103" t="n"/>
      <c r="N76" s="369" t="n"/>
      <c r="O76" s="369" t="n"/>
      <c r="P76" s="370" t="n"/>
      <c r="Q76" s="370" t="n"/>
    </row>
    <row r="77" ht="15.6" customFormat="1" customHeight="1" s="372">
      <c r="A77" s="368" t="n"/>
      <c r="B77" s="162" t="n"/>
      <c r="C77" s="162" t="n"/>
      <c r="D77" s="162" t="n"/>
      <c r="E77" s="368" t="n"/>
      <c r="F77" s="368" t="n"/>
      <c r="G77" s="103" t="n"/>
      <c r="H77" s="103" t="n"/>
      <c r="I77" s="103" t="n"/>
      <c r="J77" s="368" t="n"/>
      <c r="K77" s="368" t="n"/>
      <c r="L77" s="103" t="n"/>
      <c r="M77" s="103" t="n"/>
      <c r="N77" s="369" t="n"/>
      <c r="O77" s="369" t="n"/>
      <c r="P77" s="370" t="n"/>
      <c r="Q77" s="370" t="n"/>
    </row>
    <row r="78" ht="15" customFormat="1" customHeight="1" s="104">
      <c r="A78" s="368" t="n"/>
      <c r="B78" s="162" t="n"/>
      <c r="C78" s="162" t="n"/>
      <c r="D78" s="162" t="n"/>
      <c r="E78" s="368" t="n"/>
      <c r="F78" s="368" t="n"/>
      <c r="G78" s="103" t="n"/>
      <c r="H78" s="103" t="n"/>
      <c r="I78" s="103" t="n"/>
      <c r="J78" s="368" t="n"/>
      <c r="K78" s="368" t="n"/>
      <c r="L78" s="103" t="n"/>
      <c r="M78" s="103" t="n"/>
      <c r="N78" s="369" t="n"/>
      <c r="O78" s="369" t="n"/>
      <c r="P78" s="370" t="n"/>
      <c r="Q78" s="370" t="n"/>
    </row>
    <row r="79" ht="15" customFormat="1" customHeight="1" s="104">
      <c r="A79" s="368" t="n"/>
      <c r="B79" s="162" t="n"/>
      <c r="C79" s="162" t="n"/>
      <c r="D79" s="162" t="n"/>
      <c r="E79" s="368" t="n"/>
      <c r="F79" s="368" t="n"/>
      <c r="G79" s="103" t="n"/>
      <c r="H79" s="103" t="n"/>
      <c r="I79" s="103" t="n"/>
      <c r="J79" s="368" t="n"/>
      <c r="K79" s="368" t="n"/>
      <c r="L79" s="103" t="n"/>
      <c r="M79" s="103" t="n"/>
      <c r="N79" s="369" t="n"/>
      <c r="O79" s="369" t="n"/>
      <c r="P79" s="370" t="n"/>
      <c r="Q79" s="370" t="n"/>
    </row>
    <row r="80" ht="15" customFormat="1" customHeight="1" s="104">
      <c r="A80" s="368" t="n"/>
      <c r="B80" s="162" t="n"/>
      <c r="C80" s="162" t="n"/>
      <c r="D80" s="162" t="n"/>
      <c r="E80" s="368" t="n"/>
      <c r="F80" s="368" t="n"/>
      <c r="G80" s="103" t="n"/>
      <c r="H80" s="103" t="n"/>
      <c r="I80" s="103" t="n"/>
      <c r="J80" s="368" t="n"/>
      <c r="K80" s="368" t="n"/>
      <c r="L80" s="103" t="n"/>
      <c r="M80" s="103" t="n"/>
      <c r="N80" s="369" t="n"/>
      <c r="O80" s="369" t="n"/>
      <c r="P80" s="370" t="n"/>
      <c r="Q80" s="370" t="n"/>
    </row>
    <row r="81" ht="15" customFormat="1" customHeight="1" s="104">
      <c r="A81" s="368" t="n"/>
      <c r="B81" s="162" t="n"/>
      <c r="C81" s="162" t="n"/>
      <c r="D81" s="162" t="n"/>
      <c r="E81" s="368" t="n"/>
      <c r="F81" s="368" t="n"/>
      <c r="G81" s="103" t="n"/>
      <c r="H81" s="103" t="n"/>
      <c r="I81" s="103" t="n"/>
      <c r="J81" s="368" t="n"/>
      <c r="K81" s="368" t="n"/>
      <c r="L81" s="103" t="n"/>
      <c r="M81" s="103" t="n"/>
      <c r="N81" s="369" t="n"/>
      <c r="O81" s="369" t="n"/>
      <c r="P81" s="370" t="n"/>
      <c r="Q81" s="370" t="n"/>
    </row>
    <row r="82" ht="15" customFormat="1" customHeight="1" s="104">
      <c r="A82" s="368" t="n"/>
      <c r="B82" s="162" t="n"/>
      <c r="C82" s="162" t="n"/>
      <c r="D82" s="162" t="n"/>
      <c r="E82" s="368" t="n"/>
      <c r="F82" s="368" t="n"/>
      <c r="G82" s="103" t="n"/>
      <c r="H82" s="103" t="n"/>
      <c r="I82" s="103" t="n"/>
      <c r="J82" s="368" t="n"/>
      <c r="K82" s="368" t="n"/>
      <c r="L82" s="103" t="n"/>
      <c r="M82" s="103" t="n"/>
      <c r="N82" s="369" t="n"/>
      <c r="O82" s="369" t="n"/>
      <c r="P82" s="370" t="n"/>
      <c r="Q82" s="370" t="n"/>
    </row>
    <row r="83" ht="15" customFormat="1" customHeight="1" s="104">
      <c r="A83" s="368" t="n"/>
      <c r="B83" s="162" t="n"/>
      <c r="C83" s="162" t="n"/>
      <c r="D83" s="162" t="n"/>
      <c r="E83" s="368" t="n"/>
      <c r="F83" s="368" t="n"/>
      <c r="G83" s="103" t="n"/>
      <c r="H83" s="103" t="n"/>
      <c r="I83" s="103" t="n"/>
      <c r="J83" s="368" t="n"/>
      <c r="K83" s="368" t="n"/>
      <c r="L83" s="103" t="n"/>
      <c r="M83" s="103" t="n"/>
      <c r="N83" s="369" t="n"/>
      <c r="O83" s="369" t="n"/>
      <c r="P83" s="370" t="n"/>
      <c r="Q83" s="370" t="n"/>
    </row>
    <row r="84" ht="15" customFormat="1" customHeight="1" s="104">
      <c r="A84" s="368" t="n"/>
      <c r="B84" s="162" t="n"/>
      <c r="C84" s="162" t="n"/>
      <c r="D84" s="162" t="n"/>
      <c r="E84" s="368" t="n"/>
      <c r="F84" s="368" t="n"/>
      <c r="G84" s="103" t="n"/>
      <c r="H84" s="103" t="n"/>
      <c r="I84" s="103" t="n"/>
      <c r="J84" s="368" t="n"/>
      <c r="K84" s="368" t="n"/>
      <c r="L84" s="103" t="n"/>
      <c r="M84" s="103" t="n"/>
      <c r="N84" s="369" t="n"/>
      <c r="O84" s="369" t="n"/>
      <c r="P84" s="370" t="n"/>
      <c r="Q84" s="370" t="n"/>
    </row>
    <row r="85" ht="15" customFormat="1" customHeight="1" s="104">
      <c r="A85" s="368" t="n"/>
      <c r="B85" s="162" t="n"/>
      <c r="C85" s="162" t="n"/>
      <c r="D85" s="162" t="n"/>
      <c r="E85" s="368" t="n"/>
      <c r="F85" s="368" t="n"/>
      <c r="G85" s="103" t="n"/>
      <c r="H85" s="103" t="n"/>
      <c r="I85" s="103" t="n"/>
      <c r="J85" s="368" t="n"/>
      <c r="K85" s="368" t="n"/>
      <c r="L85" s="103" t="n"/>
      <c r="M85" s="103" t="n"/>
      <c r="N85" s="369" t="n"/>
      <c r="O85" s="369" t="n"/>
      <c r="P85" s="370" t="n"/>
      <c r="Q85" s="370" t="n"/>
    </row>
    <row r="86" ht="15" customFormat="1" customHeight="1" s="104">
      <c r="A86" s="368" t="n"/>
      <c r="B86" s="162" t="n"/>
      <c r="C86" s="162" t="n"/>
      <c r="D86" s="162" t="n"/>
      <c r="E86" s="368" t="n"/>
      <c r="F86" s="368" t="n"/>
      <c r="G86" s="103" t="n"/>
      <c r="H86" s="103" t="n"/>
      <c r="I86" s="103" t="n"/>
      <c r="J86" s="368" t="n"/>
      <c r="K86" s="368" t="n"/>
      <c r="L86" s="103" t="n"/>
      <c r="M86" s="103" t="n"/>
      <c r="N86" s="369" t="n"/>
      <c r="O86" s="369" t="n"/>
      <c r="P86" s="370" t="n"/>
      <c r="Q86" s="370" t="n"/>
    </row>
    <row r="87" ht="15" customFormat="1" customHeight="1" s="104">
      <c r="A87" s="368" t="n"/>
      <c r="B87" s="162" t="n"/>
      <c r="C87" s="162" t="n"/>
      <c r="D87" s="162" t="n"/>
      <c r="E87" s="368" t="n"/>
      <c r="F87" s="368" t="n"/>
      <c r="G87" s="103" t="n"/>
      <c r="H87" s="103" t="n"/>
      <c r="I87" s="103" t="n"/>
      <c r="J87" s="368" t="n"/>
      <c r="K87" s="368" t="n"/>
      <c r="L87" s="103" t="n"/>
      <c r="M87" s="103" t="n"/>
      <c r="N87" s="369" t="n"/>
      <c r="O87" s="369" t="n"/>
      <c r="P87" s="370" t="n"/>
      <c r="Q87" s="370" t="n"/>
    </row>
    <row r="88" ht="15" customFormat="1" customHeight="1" s="104">
      <c r="A88" s="368" t="n"/>
      <c r="B88" s="162" t="n"/>
      <c r="C88" s="162" t="n"/>
      <c r="D88" s="162" t="n"/>
      <c r="E88" s="368" t="n"/>
      <c r="F88" s="368" t="n"/>
      <c r="G88" s="103" t="n"/>
      <c r="H88" s="103" t="n"/>
      <c r="I88" s="103" t="n"/>
      <c r="J88" s="368" t="n"/>
      <c r="K88" s="368" t="n"/>
      <c r="L88" s="103" t="n"/>
      <c r="M88" s="103" t="n"/>
      <c r="N88" s="369" t="n"/>
      <c r="O88" s="369" t="n"/>
      <c r="P88" s="370" t="n"/>
      <c r="Q88" s="370" t="n"/>
    </row>
    <row r="89" ht="15" customFormat="1" customHeight="1" s="104">
      <c r="A89" s="368" t="n"/>
      <c r="B89" s="162" t="n"/>
      <c r="C89" s="162" t="n"/>
      <c r="D89" s="162" t="n"/>
      <c r="E89" s="368" t="n"/>
      <c r="F89" s="368" t="n"/>
      <c r="G89" s="103" t="n"/>
      <c r="H89" s="103" t="n"/>
      <c r="I89" s="103" t="n"/>
      <c r="J89" s="368" t="n"/>
      <c r="K89" s="368" t="n"/>
      <c r="L89" s="103" t="n"/>
      <c r="M89" s="103" t="n"/>
      <c r="N89" s="369" t="n"/>
      <c r="O89" s="369" t="n"/>
      <c r="P89" s="370" t="n"/>
      <c r="Q89" s="370" t="n"/>
    </row>
    <row r="90" ht="15" customFormat="1" customHeight="1" s="104">
      <c r="A90" s="368" t="n"/>
      <c r="B90" s="162" t="n"/>
      <c r="C90" s="162" t="n"/>
      <c r="D90" s="162" t="n"/>
      <c r="E90" s="368" t="n"/>
      <c r="F90" s="368" t="n"/>
      <c r="G90" s="103" t="n"/>
      <c r="H90" s="103" t="n"/>
      <c r="I90" s="103" t="n"/>
      <c r="J90" s="368" t="n"/>
      <c r="K90" s="368" t="n"/>
      <c r="L90" s="103" t="n"/>
      <c r="M90" s="103" t="n"/>
      <c r="N90" s="369" t="n"/>
      <c r="O90" s="369" t="n"/>
      <c r="P90" s="370" t="n"/>
      <c r="Q90" s="370" t="n"/>
    </row>
    <row r="91" ht="15" customFormat="1" customHeight="1" s="104">
      <c r="A91" s="368" t="n"/>
      <c r="B91" s="162" t="n"/>
      <c r="C91" s="162" t="n"/>
      <c r="D91" s="162" t="n"/>
      <c r="E91" s="368" t="n"/>
      <c r="F91" s="368" t="n"/>
      <c r="G91" s="103" t="n"/>
      <c r="H91" s="103" t="n"/>
      <c r="I91" s="103" t="n"/>
      <c r="J91" s="368" t="n"/>
      <c r="K91" s="368" t="n"/>
      <c r="L91" s="103" t="n"/>
      <c r="M91" s="103" t="n"/>
      <c r="N91" s="369" t="n"/>
      <c r="O91" s="369" t="n"/>
      <c r="P91" s="370" t="n"/>
      <c r="Q91" s="370" t="n"/>
    </row>
    <row r="92" ht="15" customFormat="1" customHeight="1" s="104">
      <c r="A92" s="368" t="n"/>
      <c r="B92" s="162" t="n"/>
      <c r="C92" s="162" t="n"/>
      <c r="D92" s="162" t="n"/>
      <c r="E92" s="368" t="n"/>
      <c r="F92" s="368" t="n"/>
      <c r="G92" s="103" t="n"/>
      <c r="H92" s="103" t="n"/>
      <c r="I92" s="103" t="n"/>
      <c r="J92" s="368" t="n"/>
      <c r="K92" s="368" t="n"/>
      <c r="L92" s="103" t="n"/>
      <c r="M92" s="103" t="n"/>
      <c r="N92" s="369" t="n"/>
      <c r="O92" s="369" t="n"/>
      <c r="P92" s="370" t="n"/>
      <c r="Q92" s="370" t="n"/>
    </row>
    <row r="93" ht="15" customFormat="1" customHeight="1" s="104">
      <c r="A93" s="368" t="n"/>
      <c r="B93" s="162" t="n"/>
      <c r="C93" s="162" t="n"/>
      <c r="D93" s="162" t="n"/>
      <c r="E93" s="368" t="n"/>
      <c r="F93" s="368" t="n"/>
      <c r="G93" s="103" t="n"/>
      <c r="H93" s="103" t="n"/>
      <c r="I93" s="103" t="n"/>
      <c r="J93" s="368" t="n"/>
      <c r="K93" s="368" t="n"/>
      <c r="L93" s="103" t="n"/>
      <c r="M93" s="103" t="n"/>
      <c r="N93" s="369" t="n"/>
      <c r="O93" s="369" t="n"/>
      <c r="P93" s="370" t="n"/>
      <c r="Q93" s="370" t="n"/>
    </row>
    <row r="94" ht="15" customFormat="1" customHeight="1" s="104">
      <c r="A94" s="368" t="n"/>
      <c r="B94" s="162" t="n"/>
      <c r="C94" s="162" t="n"/>
      <c r="D94" s="162" t="n"/>
      <c r="E94" s="368" t="n"/>
      <c r="F94" s="368" t="n"/>
      <c r="G94" s="103" t="n"/>
      <c r="H94" s="103" t="n"/>
      <c r="I94" s="103" t="n"/>
      <c r="J94" s="368" t="n"/>
      <c r="K94" s="368" t="n"/>
      <c r="L94" s="103" t="n"/>
      <c r="M94" s="103" t="n"/>
      <c r="N94" s="369" t="n"/>
      <c r="O94" s="369" t="n"/>
      <c r="P94" s="370" t="n"/>
      <c r="Q94" s="370" t="n"/>
    </row>
    <row r="95" ht="15" customFormat="1" customHeight="1" s="104">
      <c r="A95" s="368" t="n"/>
      <c r="B95" s="162" t="n"/>
      <c r="C95" s="162" t="n"/>
      <c r="D95" s="162" t="n"/>
      <c r="E95" s="368" t="n"/>
      <c r="F95" s="368" t="n"/>
      <c r="G95" s="103" t="n"/>
      <c r="H95" s="103" t="n"/>
      <c r="I95" s="103" t="n"/>
      <c r="J95" s="368" t="n"/>
      <c r="K95" s="368" t="n"/>
      <c r="L95" s="103" t="n"/>
      <c r="M95" s="103" t="n"/>
      <c r="N95" s="369" t="n"/>
      <c r="O95" s="369" t="n"/>
      <c r="P95" s="370" t="n"/>
      <c r="Q95" s="370" t="n"/>
    </row>
    <row r="96" ht="15" customFormat="1" customHeight="1" s="104">
      <c r="A96" s="368" t="n"/>
      <c r="B96" s="162" t="n"/>
      <c r="C96" s="162" t="n"/>
      <c r="D96" s="162" t="n"/>
      <c r="E96" s="368" t="n"/>
      <c r="F96" s="368" t="n"/>
      <c r="G96" s="103" t="n"/>
      <c r="H96" s="103" t="n"/>
      <c r="I96" s="103" t="n"/>
      <c r="J96" s="368" t="n"/>
      <c r="K96" s="368" t="n"/>
      <c r="L96" s="103" t="n"/>
      <c r="M96" s="103" t="n"/>
      <c r="N96" s="369" t="n"/>
      <c r="O96" s="369" t="n"/>
      <c r="P96" s="370" t="n"/>
      <c r="Q96" s="370" t="n"/>
    </row>
    <row r="97" ht="15" customFormat="1" customHeight="1" s="104">
      <c r="A97" s="368" t="n"/>
      <c r="B97" s="162" t="n"/>
      <c r="C97" s="162" t="n"/>
      <c r="D97" s="162" t="n"/>
      <c r="E97" s="368" t="n"/>
      <c r="F97" s="368" t="n"/>
      <c r="G97" s="103" t="n"/>
      <c r="H97" s="103" t="n"/>
      <c r="I97" s="103" t="n"/>
      <c r="J97" s="368" t="n"/>
      <c r="K97" s="368" t="n"/>
      <c r="L97" s="103" t="n"/>
      <c r="M97" s="103" t="n"/>
      <c r="N97" s="369" t="n"/>
      <c r="O97" s="369" t="n"/>
      <c r="P97" s="370" t="n"/>
      <c r="Q97" s="370" t="n"/>
    </row>
    <row r="98" ht="15" customFormat="1" customHeight="1" s="104">
      <c r="A98" s="368" t="n"/>
      <c r="B98" s="162" t="n"/>
      <c r="C98" s="162" t="n"/>
      <c r="D98" s="162" t="n"/>
      <c r="E98" s="368" t="n"/>
      <c r="F98" s="368" t="n"/>
      <c r="G98" s="103" t="n"/>
      <c r="H98" s="103" t="n"/>
      <c r="I98" s="103" t="n"/>
      <c r="J98" s="368" t="n"/>
      <c r="K98" s="368" t="n"/>
      <c r="L98" s="103" t="n"/>
      <c r="M98" s="103" t="n"/>
      <c r="N98" s="369" t="n"/>
      <c r="O98" s="369" t="n"/>
      <c r="P98" s="370" t="n"/>
      <c r="Q98" s="370" t="n"/>
    </row>
  </sheetData>
  <mergeCells count="1">
    <mergeCell ref="A1:D1"/>
  </mergeCells>
  <pageMargins left="0.5024509803921569" right="0.392156862745098" top="0.4347826086956522" bottom="0.3079710144927536" header="0.3149606299212598" footer="0.3149606299212598"/>
  <pageSetup orientation="landscape" paperSize="9" fitToHeight="0" blackAndWhite="1" horizontalDpi="300" verticalDpi="300"/>
  <rowBreaks count="1" manualBreakCount="1">
    <brk id="22" min="0" max="16383" man="1"/>
  </rowBreaks>
</worksheet>
</file>

<file path=xl/worksheets/sheet4.xml><?xml version="1.0" encoding="utf-8"?>
<worksheet xmlns="http://schemas.openxmlformats.org/spreadsheetml/2006/main">
  <sheetPr>
    <tabColor rgb="FF00B0F0"/>
    <outlinePr summaryBelow="1" summaryRight="1"/>
    <pageSetUpPr/>
  </sheetPr>
  <dimension ref="A1:F212"/>
  <sheetViews>
    <sheetView workbookViewId="0">
      <selection activeCell="B89" sqref="B89:D89"/>
    </sheetView>
  </sheetViews>
  <sheetFormatPr baseColWidth="8" defaultColWidth="9.109375" defaultRowHeight="13.8"/>
  <cols>
    <col width="56.88671875" customWidth="1" style="175" min="1" max="1"/>
    <col width="12.88671875" customWidth="1" style="370" min="2" max="4"/>
    <col width="9.109375" customWidth="1" style="405" min="5" max="16384"/>
  </cols>
  <sheetData>
    <row r="1" ht="17.4" customFormat="1" customHeight="1" s="105">
      <c r="A1" s="435" t="inlineStr">
        <is>
          <t>1D - Analiza financiară - Indicatori</t>
        </is>
      </c>
    </row>
    <row r="2" ht="27.75" customFormat="1" customHeight="1" s="105">
      <c r="A2" s="436" t="inlineStr">
        <is>
          <t>Completarea informațiilor se face în mod automat, în baza informațiilor introduse în foile de lucru 1.A-Bilanțul și 1.B-Contul de profit și pierdere, precum și a Analizei financiare extinse (foaia de lucru 1C)</t>
        </is>
      </c>
    </row>
    <row r="3" ht="17.4" customFormat="1" customHeight="1" s="105">
      <c r="A3" s="437" t="n"/>
    </row>
    <row r="4" customFormat="1" s="405">
      <c r="A4" s="373" t="inlineStr">
        <is>
          <t>Indicatori de echilibru financiar</t>
        </is>
      </c>
      <c r="B4" s="365">
        <f>'1A-Bilant'!B5</f>
        <v/>
      </c>
      <c r="C4" s="365">
        <f>'1A-Bilant'!C5</f>
        <v/>
      </c>
      <c r="D4" s="365">
        <f>'1A-Bilant'!D5</f>
        <v/>
      </c>
    </row>
    <row r="5">
      <c r="A5" s="117" t="inlineStr">
        <is>
          <t>AN (Activ net) = Activ total - Datorii totale</t>
        </is>
      </c>
      <c r="B5" s="112">
        <f>'1C-Analiza_fin_extinsa'!B21-'1C-Analiza_fin_extinsa'!B16-'1C-Analiza_fin_extinsa'!B11</f>
        <v/>
      </c>
      <c r="C5" s="112">
        <f>'1C-Analiza_fin_extinsa'!C21-'1C-Analiza_fin_extinsa'!C16-'1C-Analiza_fin_extinsa'!C11</f>
        <v/>
      </c>
      <c r="D5" s="112">
        <f>'1C-Analiza_fin_extinsa'!D21-'1C-Analiza_fin_extinsa'!D16-'1C-Analiza_fin_extinsa'!D11</f>
        <v/>
      </c>
    </row>
    <row r="6" ht="27.6" customHeight="1" s="350">
      <c r="A6" s="117" t="inlineStr">
        <is>
          <t>FR (Fond de rulment ) = Capital propriu + Datorii termen lung - Imobilizari</t>
        </is>
      </c>
      <c r="B6" s="112">
        <f>'1C-Analiza_fin_extinsa'!B20+'1C-Analiza_fin_extinsa'!B16-'1C-Analiza_fin_extinsa'!B4</f>
        <v/>
      </c>
      <c r="C6" s="112">
        <f>'1C-Analiza_fin_extinsa'!C20+'1C-Analiza_fin_extinsa'!C16-'1C-Analiza_fin_extinsa'!C4</f>
        <v/>
      </c>
      <c r="D6" s="112">
        <f>'1C-Analiza_fin_extinsa'!D20+'1C-Analiza_fin_extinsa'!D16-'1C-Analiza_fin_extinsa'!D4</f>
        <v/>
      </c>
    </row>
    <row r="7" ht="27.6" customHeight="1" s="350">
      <c r="A7" s="117" t="inlineStr">
        <is>
          <t>NFR (necesar de fond de rulment) = Active curente cu exceptia trezoreriei - Datorii curente cu exceptia trezoreriei</t>
        </is>
      </c>
      <c r="B7" s="112">
        <f>('1C-Analiza_fin_extinsa'!B5-'1C-Analiza_fin_extinsa'!B9)-('1C-Analiza_fin_extinsa'!B11-'1C-Analiza_fin_extinsa'!B12)</f>
        <v/>
      </c>
      <c r="C7" s="112">
        <f>('1C-Analiza_fin_extinsa'!C5-'1C-Analiza_fin_extinsa'!C9)-('1C-Analiza_fin_extinsa'!C11-'1C-Analiza_fin_extinsa'!C12)</f>
        <v/>
      </c>
      <c r="D7" s="112">
        <f>('1C-Analiza_fin_extinsa'!D5-'1C-Analiza_fin_extinsa'!D9)-('1C-Analiza_fin_extinsa'!D11-'1C-Analiza_fin_extinsa'!D12)</f>
        <v/>
      </c>
    </row>
    <row r="8">
      <c r="A8" s="117" t="inlineStr">
        <is>
          <t>TN (trezoreria neta) = FR - NFR</t>
        </is>
      </c>
      <c r="B8" s="112">
        <f>B6-B7</f>
        <v/>
      </c>
      <c r="C8" s="112">
        <f>C6-C7</f>
        <v/>
      </c>
      <c r="D8" s="112">
        <f>D6-D7</f>
        <v/>
      </c>
    </row>
    <row r="9">
      <c r="A9" s="117" t="inlineStr">
        <is>
          <t>CF (cash flow) = variatia (D) TN</t>
        </is>
      </c>
      <c r="B9" s="112" t="n"/>
      <c r="C9" s="112">
        <f>C8-B8</f>
        <v/>
      </c>
      <c r="D9" s="112">
        <f>D8-C8</f>
        <v/>
      </c>
    </row>
    <row r="10">
      <c r="A10" s="117" t="inlineStr">
        <is>
          <t>Rata de acoperire a NFR din FR = NFR/FR</t>
        </is>
      </c>
      <c r="B10" s="108">
        <f>IFERROR(B7/B6,"")</f>
        <v/>
      </c>
      <c r="C10" s="108">
        <f>IFERROR(C7/C6,"")</f>
        <v/>
      </c>
      <c r="D10" s="108">
        <f>IFERROR(D7/D6,"")</f>
        <v/>
      </c>
    </row>
    <row r="11">
      <c r="B11" s="109" t="n"/>
      <c r="C11" s="109" t="n"/>
      <c r="D11" s="109" t="n"/>
    </row>
    <row r="12">
      <c r="A12" s="373" t="inlineStr">
        <is>
          <t>Solduri intermediare de gestiune</t>
        </is>
      </c>
      <c r="B12" s="406">
        <f>'1A-Bilant'!B5</f>
        <v/>
      </c>
      <c r="C12" s="406">
        <f>'1A-Bilant'!C5</f>
        <v/>
      </c>
      <c r="D12" s="406">
        <f>'1A-Bilant'!D5</f>
        <v/>
      </c>
    </row>
    <row r="13">
      <c r="A13" s="117" t="inlineStr">
        <is>
          <t>CA (Cifra de afaceri neta)</t>
        </is>
      </c>
      <c r="B13" s="112">
        <f>'1C-Analiza_fin_extinsa'!B25</f>
        <v/>
      </c>
      <c r="C13" s="112">
        <f>'1C-Analiza_fin_extinsa'!C25</f>
        <v/>
      </c>
      <c r="D13" s="112">
        <f>'1C-Analiza_fin_extinsa'!D25</f>
        <v/>
      </c>
    </row>
    <row r="14">
      <c r="A14" s="117" t="inlineStr">
        <is>
          <t>Venituri din exploatare - total</t>
        </is>
      </c>
      <c r="B14" s="112">
        <f>'1C-Analiza_fin_extinsa'!B27</f>
        <v/>
      </c>
      <c r="C14" s="112">
        <f>'1C-Analiza_fin_extinsa'!C27</f>
        <v/>
      </c>
      <c r="D14" s="112">
        <f>'1C-Analiza_fin_extinsa'!D27</f>
        <v/>
      </c>
    </row>
    <row r="15">
      <c r="A15" s="117" t="inlineStr">
        <is>
          <t>Cheltuieli din exploatare - total</t>
        </is>
      </c>
      <c r="B15" s="112">
        <f>'1C-Analiza_fin_extinsa'!B30</f>
        <v/>
      </c>
      <c r="C15" s="112">
        <f>'1C-Analiza_fin_extinsa'!C30</f>
        <v/>
      </c>
      <c r="D15" s="112">
        <f>'1C-Analiza_fin_extinsa'!D30</f>
        <v/>
      </c>
    </row>
    <row r="16" ht="27.6" customHeight="1" s="350">
      <c r="A16" s="117" t="inlineStr">
        <is>
          <t>Rexpl (Rezultatul din exploatare) = Venituri din exploatare - Cheltuieli de exploatare</t>
        </is>
      </c>
      <c r="B16" s="112">
        <f>'1C-Analiza_fin_extinsa'!B31</f>
        <v/>
      </c>
      <c r="C16" s="112">
        <f>'1C-Analiza_fin_extinsa'!C31</f>
        <v/>
      </c>
      <c r="D16" s="112">
        <f>'1C-Analiza_fin_extinsa'!D31</f>
        <v/>
      </c>
    </row>
    <row r="17">
      <c r="A17" s="117" t="inlineStr">
        <is>
          <t>Venituri financiare</t>
        </is>
      </c>
      <c r="B17" s="112">
        <f>'1C-Analiza_fin_extinsa'!B32</f>
        <v/>
      </c>
      <c r="C17" s="112">
        <f>'1C-Analiza_fin_extinsa'!C32</f>
        <v/>
      </c>
      <c r="D17" s="112">
        <f>'1C-Analiza_fin_extinsa'!D32</f>
        <v/>
      </c>
    </row>
    <row r="18">
      <c r="A18" s="117" t="inlineStr">
        <is>
          <t>Cheltuieli financiare</t>
        </is>
      </c>
      <c r="B18" s="112">
        <f>'1C-Analiza_fin_extinsa'!B36</f>
        <v/>
      </c>
      <c r="C18" s="112">
        <f>'1C-Analiza_fin_extinsa'!C36</f>
        <v/>
      </c>
      <c r="D18" s="112">
        <f>'1C-Analiza_fin_extinsa'!D36</f>
        <v/>
      </c>
    </row>
    <row r="19" customFormat="1" s="113">
      <c r="A19" s="117" t="inlineStr">
        <is>
          <t>Rfin (Rezultatul financiar) = Venituri financiare - Cheltuieli financiare</t>
        </is>
      </c>
      <c r="B19" s="112">
        <f>'1C-Analiza_fin_extinsa'!B37</f>
        <v/>
      </c>
      <c r="C19" s="112">
        <f>'1C-Analiza_fin_extinsa'!C37</f>
        <v/>
      </c>
      <c r="D19" s="112">
        <f>'1C-Analiza_fin_extinsa'!D37</f>
        <v/>
      </c>
    </row>
    <row r="20">
      <c r="A20" s="117" t="inlineStr">
        <is>
          <t>Rcrt (Rezultatul curent) = Rexpl + Rfin</t>
        </is>
      </c>
      <c r="B20" s="112">
        <f>'1C-Analiza_fin_extinsa'!B38</f>
        <v/>
      </c>
      <c r="C20" s="112">
        <f>'1C-Analiza_fin_extinsa'!C38</f>
        <v/>
      </c>
      <c r="D20" s="112">
        <f>'1C-Analiza_fin_extinsa'!D38</f>
        <v/>
      </c>
    </row>
    <row r="21">
      <c r="A21" s="117" t="inlineStr">
        <is>
          <t>Venituri extraordinare</t>
        </is>
      </c>
      <c r="B21" s="112">
        <f>'1C-Analiza_fin_extinsa'!B39</f>
        <v/>
      </c>
      <c r="C21" s="112">
        <f>'1C-Analiza_fin_extinsa'!C39</f>
        <v/>
      </c>
      <c r="D21" s="112">
        <f>'1C-Analiza_fin_extinsa'!D39</f>
        <v/>
      </c>
    </row>
    <row r="22">
      <c r="A22" s="117" t="inlineStr">
        <is>
          <t>Cheltuieli extraordinare</t>
        </is>
      </c>
      <c r="B22" s="112">
        <f>'1C-Analiza_fin_extinsa'!B40</f>
        <v/>
      </c>
      <c r="C22" s="112">
        <f>'1C-Analiza_fin_extinsa'!C40</f>
        <v/>
      </c>
      <c r="D22" s="112">
        <f>'1C-Analiza_fin_extinsa'!D40</f>
        <v/>
      </c>
    </row>
    <row r="23" ht="27.6" customHeight="1" s="350">
      <c r="A23" s="117" t="inlineStr">
        <is>
          <t>Rextr (Rezultatul extraordinar) = Venituri extraordinare - Cheltuieli extraordinare</t>
        </is>
      </c>
      <c r="B23" s="112">
        <f>'1C-Analiza_fin_extinsa'!B41</f>
        <v/>
      </c>
      <c r="C23" s="112">
        <f>'1C-Analiza_fin_extinsa'!C41</f>
        <v/>
      </c>
      <c r="D23" s="112">
        <f>'1C-Analiza_fin_extinsa'!D41</f>
        <v/>
      </c>
    </row>
    <row r="24">
      <c r="A24" s="117" t="inlineStr">
        <is>
          <t>Venituri totale</t>
        </is>
      </c>
      <c r="B24" s="112">
        <f>'1C-Analiza_fin_extinsa'!B42</f>
        <v/>
      </c>
      <c r="C24" s="112">
        <f>'1C-Analiza_fin_extinsa'!C42</f>
        <v/>
      </c>
      <c r="D24" s="112">
        <f>'1C-Analiza_fin_extinsa'!D42</f>
        <v/>
      </c>
    </row>
    <row r="25">
      <c r="A25" s="117" t="inlineStr">
        <is>
          <t>Cheltuieli totale</t>
        </is>
      </c>
      <c r="B25" s="112">
        <f>'1C-Analiza_fin_extinsa'!B43</f>
        <v/>
      </c>
      <c r="C25" s="112">
        <f>'1C-Analiza_fin_extinsa'!C43</f>
        <v/>
      </c>
      <c r="D25" s="112">
        <f>'1C-Analiza_fin_extinsa'!D43</f>
        <v/>
      </c>
    </row>
    <row r="26">
      <c r="A26" s="117" t="inlineStr">
        <is>
          <t>R brut (Rezultatul brut) = Rcrt + Rextr</t>
        </is>
      </c>
      <c r="B26" s="112">
        <f>'1C-Analiza_fin_extinsa'!B44</f>
        <v/>
      </c>
      <c r="C26" s="112">
        <f>'1C-Analiza_fin_extinsa'!C44</f>
        <v/>
      </c>
      <c r="D26" s="112">
        <f>'1C-Analiza_fin_extinsa'!D44</f>
        <v/>
      </c>
    </row>
    <row r="27" hidden="1" s="350">
      <c r="A27" s="114" t="inlineStr">
        <is>
          <t>Impozit pe profit</t>
        </is>
      </c>
      <c r="B27" s="115">
        <f>'1C-Analiza_fin_extinsa'!B45</f>
        <v/>
      </c>
      <c r="C27" s="115">
        <f>'1C-Analiza_fin_extinsa'!C45</f>
        <v/>
      </c>
      <c r="D27" s="115">
        <f>'1C-Analiza_fin_extinsa'!D45</f>
        <v/>
      </c>
    </row>
    <row r="28">
      <c r="A28" s="117" t="inlineStr">
        <is>
          <t>RN (Rezultatul net) = R brut - impozit pe profit</t>
        </is>
      </c>
      <c r="B28" s="112">
        <f>'1C-Analiza_fin_extinsa'!B47</f>
        <v/>
      </c>
      <c r="C28" s="112">
        <f>'1C-Analiza_fin_extinsa'!C47</f>
        <v/>
      </c>
      <c r="D28" s="112">
        <f>'1C-Analiza_fin_extinsa'!D47</f>
        <v/>
      </c>
    </row>
    <row r="29">
      <c r="A29" s="117" t="inlineStr">
        <is>
          <t>EBT (Rezultat inainte de impozit) = RN + impozit pe profit</t>
        </is>
      </c>
      <c r="B29" s="112">
        <f>'1C-Analiza_fin_extinsa'!B48</f>
        <v/>
      </c>
      <c r="C29" s="112">
        <f>'1C-Analiza_fin_extinsa'!C48</f>
        <v/>
      </c>
      <c r="D29" s="112">
        <f>'1C-Analiza_fin_extinsa'!D48</f>
        <v/>
      </c>
    </row>
    <row r="30">
      <c r="A30" s="117" t="inlineStr">
        <is>
          <t>EBIT (Rezultat inainte de dobanzi si impozit) = EBT + dobanzi</t>
        </is>
      </c>
      <c r="B30" s="112">
        <f>'1C-Analiza_fin_extinsa'!B49</f>
        <v/>
      </c>
      <c r="C30" s="112">
        <f>'1C-Analiza_fin_extinsa'!C49</f>
        <v/>
      </c>
      <c r="D30" s="112">
        <f>'1C-Analiza_fin_extinsa'!D49</f>
        <v/>
      </c>
    </row>
    <row r="31" ht="27.6" customHeight="1" s="350">
      <c r="A31" s="117" t="inlineStr">
        <is>
          <t>EBITDA (Rezultat inainte de amortizare, dobanzi si impozit) = EBIT + amortizare</t>
        </is>
      </c>
      <c r="B31" s="112">
        <f>'1C-Analiza_fin_extinsa'!B50</f>
        <v/>
      </c>
      <c r="C31" s="112">
        <f>'1C-Analiza_fin_extinsa'!C50</f>
        <v/>
      </c>
      <c r="D31" s="112">
        <f>'1C-Analiza_fin_extinsa'!D50</f>
        <v/>
      </c>
    </row>
    <row r="32">
      <c r="B32" s="109" t="n"/>
      <c r="C32" s="109" t="n"/>
      <c r="D32" s="109" t="n"/>
    </row>
    <row r="33" customFormat="1" s="405">
      <c r="A33" s="373" t="inlineStr">
        <is>
          <t>Rate de marja</t>
        </is>
      </c>
      <c r="B33" s="406">
        <f>'1A-Bilant'!B5</f>
        <v/>
      </c>
      <c r="C33" s="406">
        <f>'1A-Bilant'!C5</f>
        <v/>
      </c>
      <c r="D33" s="406">
        <f>'1A-Bilant'!D5</f>
        <v/>
      </c>
    </row>
    <row r="34" customFormat="1" s="405">
      <c r="A34" s="117" t="inlineStr">
        <is>
          <t>R_Rexp = Rezultat exploatare / CA</t>
        </is>
      </c>
      <c r="B34" s="120">
        <f>IFERROR('1C-Analiza_fin_extinsa'!G31,"")</f>
        <v/>
      </c>
      <c r="C34" s="120">
        <f>IFERROR('1C-Analiza_fin_extinsa'!H31,"")</f>
        <v/>
      </c>
      <c r="D34" s="120">
        <f>IFERROR('1C-Analiza_fin_extinsa'!I31,"")</f>
        <v/>
      </c>
    </row>
    <row r="35" customFormat="1" s="405">
      <c r="A35" s="117" t="inlineStr">
        <is>
          <t>R_Rfin = Rezultat financiar / CA</t>
        </is>
      </c>
      <c r="B35" s="120">
        <f>IFERROR('1C-Analiza_fin_extinsa'!G37,"")</f>
        <v/>
      </c>
      <c r="C35" s="120">
        <f>IFERROR('1C-Analiza_fin_extinsa'!H37,"")</f>
        <v/>
      </c>
      <c r="D35" s="120">
        <f>IFERROR('1C-Analiza_fin_extinsa'!I37,"")</f>
        <v/>
      </c>
    </row>
    <row r="36" customFormat="1" s="405">
      <c r="A36" s="117" t="inlineStr">
        <is>
          <t>R_Rextr = Rezultat extraordinar / CA</t>
        </is>
      </c>
      <c r="B36" s="120">
        <f>IFERROR('1C-Analiza_fin_extinsa'!G41,"")</f>
        <v/>
      </c>
      <c r="C36" s="120">
        <f>IFERROR('1C-Analiza_fin_extinsa'!H41,"")</f>
        <v/>
      </c>
      <c r="D36" s="120">
        <f>IFERROR('1C-Analiza_fin_extinsa'!I41,"")</f>
        <v/>
      </c>
    </row>
    <row r="37" customFormat="1" s="405">
      <c r="A37" s="117" t="inlineStr">
        <is>
          <t>R_Rbrut = Rezultat brut / CA</t>
        </is>
      </c>
      <c r="B37" s="120">
        <f>IFERROR('1C-Analiza_fin_extinsa'!G44,"")</f>
        <v/>
      </c>
      <c r="C37" s="120">
        <f>IFERROR('1C-Analiza_fin_extinsa'!H44,"")</f>
        <v/>
      </c>
      <c r="D37" s="120">
        <f>IFERROR('1C-Analiza_fin_extinsa'!I44,"")</f>
        <v/>
      </c>
    </row>
    <row r="38" customFormat="1" s="405">
      <c r="A38" s="117" t="inlineStr">
        <is>
          <t>R_RN (sau R_PN) = Rezultat net (profit net) / CA</t>
        </is>
      </c>
      <c r="B38" s="120">
        <f>IFERROR('1C-Analiza_fin_extinsa'!G47,"")</f>
        <v/>
      </c>
      <c r="C38" s="120">
        <f>IFERROR('1C-Analiza_fin_extinsa'!H47,"")</f>
        <v/>
      </c>
      <c r="D38" s="120">
        <f>IFERROR('1C-Analiza_fin_extinsa'!I47,"")</f>
        <v/>
      </c>
    </row>
    <row r="39" customFormat="1" s="405">
      <c r="A39" s="117" t="inlineStr">
        <is>
          <t>R_EBITDA = EBITDA / CA</t>
        </is>
      </c>
      <c r="B39" s="120">
        <f>IFERROR('1C-Analiza_fin_extinsa'!G50,"")</f>
        <v/>
      </c>
      <c r="C39" s="120">
        <f>IFERROR('1C-Analiza_fin_extinsa'!H50,"")</f>
        <v/>
      </c>
      <c r="D39" s="120">
        <f>IFERROR('1C-Analiza_fin_extinsa'!I50,"")</f>
        <v/>
      </c>
    </row>
    <row r="40" customFormat="1" s="405">
      <c r="A40" s="117" t="inlineStr">
        <is>
          <t>R_EBIT = EBIT / CA</t>
        </is>
      </c>
      <c r="B40" s="120">
        <f>IFERROR('1C-Analiza_fin_extinsa'!G49,"")</f>
        <v/>
      </c>
      <c r="C40" s="120">
        <f>IFERROR('1C-Analiza_fin_extinsa'!H49,"")</f>
        <v/>
      </c>
      <c r="D40" s="120">
        <f>IFERROR('1C-Analiza_fin_extinsa'!I49,"")</f>
        <v/>
      </c>
    </row>
    <row r="41" customFormat="1" s="405">
      <c r="A41" s="175" t="n"/>
      <c r="B41" s="176" t="n"/>
      <c r="C41" s="176" t="n"/>
      <c r="D41" s="176" t="n"/>
    </row>
    <row r="42" customFormat="1" s="405">
      <c r="A42" s="373" t="inlineStr">
        <is>
          <t>Rate de rentabilitate</t>
        </is>
      </c>
      <c r="B42" s="406">
        <f>'1A-Bilant'!B5</f>
        <v/>
      </c>
      <c r="C42" s="406">
        <f>'1A-Bilant'!C5</f>
        <v/>
      </c>
      <c r="D42" s="406">
        <f>'1A-Bilant'!D5</f>
        <v/>
      </c>
    </row>
    <row r="43" customFormat="1" s="405">
      <c r="A43" s="117" t="inlineStr">
        <is>
          <t>Profit net</t>
        </is>
      </c>
      <c r="B43" s="178">
        <f>'1B-ContPP'!B55</f>
        <v/>
      </c>
      <c r="C43" s="178">
        <f>'1B-ContPP'!C55</f>
        <v/>
      </c>
      <c r="D43" s="178">
        <f>'1B-ContPP'!D55</f>
        <v/>
      </c>
    </row>
    <row r="44" customFormat="1" s="405">
      <c r="A44" s="117" t="inlineStr">
        <is>
          <t>EBIT - impozit</t>
        </is>
      </c>
      <c r="B44" s="178">
        <f>'1C-Analiza_fin_extinsa'!B49-'1C-Analiza_fin_extinsa'!B45</f>
        <v/>
      </c>
      <c r="C44" s="178">
        <f>'1C-Analiza_fin_extinsa'!C49-'1C-Analiza_fin_extinsa'!C45</f>
        <v/>
      </c>
      <c r="D44" s="178">
        <f>'1C-Analiza_fin_extinsa'!D49-'1C-Analiza_fin_extinsa'!D45</f>
        <v/>
      </c>
    </row>
    <row r="45" customFormat="1" s="405">
      <c r="A45" s="358" t="inlineStr">
        <is>
          <t>ROA (rentabilitatea activelor) = PN/Active</t>
        </is>
      </c>
      <c r="B45" s="359">
        <f>IF(B43&lt;0,"nu se calculeaza",IFERROR('1C-Analiza_fin_extinsa'!B47/'1C-Analiza_fin_extinsa'!B21,""))</f>
        <v/>
      </c>
      <c r="C45" s="359">
        <f>IF(C43&lt;0,"nu se calculeaza",IFERROR('1C-Analiza_fin_extinsa'!C47/'1C-Analiza_fin_extinsa'!C21,""))</f>
        <v/>
      </c>
      <c r="D45" s="359">
        <f>IF(D43&lt;0,"nu se calculeaza",IFERROR('1C-Analiza_fin_extinsa'!D47/'1C-Analiza_fin_extinsa'!D21,""))</f>
        <v/>
      </c>
    </row>
    <row r="46" customFormat="1" s="405">
      <c r="A46" s="117" t="inlineStr">
        <is>
          <t>descompunere ROA = R_PN · viteza de rotatie a activelor</t>
        </is>
      </c>
      <c r="B46" s="119" t="n"/>
      <c r="C46" s="119" t="n"/>
      <c r="D46" s="119" t="n"/>
    </row>
    <row r="47">
      <c r="A47" s="117" t="inlineStr">
        <is>
          <t>R_PN = PN/CA</t>
        </is>
      </c>
      <c r="B47" s="120">
        <f>IF(B43&lt;0,"nu se calculeaza",IFERROR('1C-Analiza_fin_extinsa'!G47,""))</f>
        <v/>
      </c>
      <c r="C47" s="120">
        <f>IF(C43&lt;0,"nu se calculeaza",IFERROR('1C-Analiza_fin_extinsa'!H47,""))</f>
        <v/>
      </c>
      <c r="D47" s="120">
        <f>IF(D43&lt;0,"nu se calculeaza",IFERROR('1C-Analiza_fin_extinsa'!I47,""))</f>
        <v/>
      </c>
    </row>
    <row r="48">
      <c r="A48" s="117" t="inlineStr">
        <is>
          <t>viteza de rotatie a activelor = CA/Active</t>
        </is>
      </c>
      <c r="B48" s="131">
        <f>IFERROR('1C-Analiza_fin_extinsa'!B25/'1C-Analiza_fin_extinsa'!B10,"")</f>
        <v/>
      </c>
      <c r="C48" s="131">
        <f>IFERROR('1C-Analiza_fin_extinsa'!C25/'1C-Analiza_fin_extinsa'!C10,"")</f>
        <v/>
      </c>
      <c r="D48" s="131">
        <f>IFERROR('1C-Analiza_fin_extinsa'!D25/'1C-Analiza_fin_extinsa'!D10,"")</f>
        <v/>
      </c>
    </row>
    <row r="49">
      <c r="A49" s="358" t="inlineStr">
        <is>
          <t>ROE (rentabilitatea capitalului propriu)  = PN/CPR</t>
        </is>
      </c>
      <c r="B49" s="359">
        <f>IF(B43&lt;0,"nu se calculeaza",IFERROR('1C-Analiza_fin_extinsa'!B47/'1C-Analiza_fin_extinsa'!B20,""))</f>
        <v/>
      </c>
      <c r="C49" s="359">
        <f>IF(C43&lt;0,"nu se calculeaza",IFERROR('1C-Analiza_fin_extinsa'!C47/'1C-Analiza_fin_extinsa'!C20,""))</f>
        <v/>
      </c>
      <c r="D49" s="359">
        <f>IF(D43&lt;0,"nu se calculeaza",IFERROR('1C-Analiza_fin_extinsa'!D47/'1C-Analiza_fin_extinsa'!D20,""))</f>
        <v/>
      </c>
    </row>
    <row r="50" ht="24" customHeight="1" s="350">
      <c r="A50" s="117" t="inlineStr">
        <is>
          <t>descompunerea ROE = R_PN · viteza de rotatie a activelor 
· rata de structura aferenta capitalului propriu</t>
        </is>
      </c>
      <c r="B50" s="119" t="n"/>
      <c r="C50" s="119" t="n"/>
      <c r="D50" s="119" t="n"/>
    </row>
    <row r="51">
      <c r="A51" s="117" t="inlineStr">
        <is>
          <t>R_PN = PN/CA</t>
        </is>
      </c>
      <c r="B51" s="120">
        <f>B47</f>
        <v/>
      </c>
      <c r="C51" s="120">
        <f>C47</f>
        <v/>
      </c>
      <c r="D51" s="120">
        <f>D47</f>
        <v/>
      </c>
    </row>
    <row r="52">
      <c r="A52" s="117" t="inlineStr">
        <is>
          <t>viteza de rotatie a activelor = CA/Active</t>
        </is>
      </c>
      <c r="B52" s="131">
        <f>B48</f>
        <v/>
      </c>
      <c r="C52" s="131">
        <f>C48</f>
        <v/>
      </c>
      <c r="D52" s="131">
        <f>D48</f>
        <v/>
      </c>
    </row>
    <row r="53">
      <c r="A53" s="117" t="inlineStr">
        <is>
          <t>rata de structura aferenta capitalului propriu = Active/CPR</t>
        </is>
      </c>
      <c r="B53" s="131">
        <f>IFERROR('1C-Analiza_fin_extinsa'!B21/'1C-Analiza_fin_extinsa'!B20,"")</f>
        <v/>
      </c>
      <c r="C53" s="131">
        <f>IFERROR('1C-Analiza_fin_extinsa'!C21/'1C-Analiza_fin_extinsa'!C20,"")</f>
        <v/>
      </c>
      <c r="D53" s="131">
        <f>IFERROR('1C-Analiza_fin_extinsa'!D21/'1C-Analiza_fin_extinsa'!D20,"")</f>
        <v/>
      </c>
    </row>
    <row r="54" ht="27.6" customHeight="1" s="350">
      <c r="A54" s="373" t="inlineStr">
        <is>
          <t>Rec (rentabilitatea capitalului investit)  = (EBIT-impozit)/capital investit, unde CI=CPR+DTL+prov</t>
        </is>
      </c>
      <c r="B54" s="120">
        <f>IF(B44&lt;0,"nu se calculeaza",IFERROR(('1C-Analiza_fin_extinsa'!B49-'1C-Analiza_fin_extinsa'!B45)/('1C-Analiza_fin_extinsa'!B20+'1C-Analiza_fin_extinsa'!B16),""))</f>
        <v/>
      </c>
      <c r="C54" s="120">
        <f>IF(C44&lt;0,"nu se calculeaza",IFERROR(('1C-Analiza_fin_extinsa'!C49-'1C-Analiza_fin_extinsa'!C45)/('1C-Analiza_fin_extinsa'!C20+'1C-Analiza_fin_extinsa'!C16),""))</f>
        <v/>
      </c>
      <c r="D54" s="120">
        <f>IF(D44&lt;0,"nu se calculeaza",IFERROR(('1C-Analiza_fin_extinsa'!D49-'1C-Analiza_fin_extinsa'!D45)/('1C-Analiza_fin_extinsa'!D20+'1C-Analiza_fin_extinsa'!D16),""))</f>
        <v/>
      </c>
    </row>
    <row r="55" ht="27.6" customHeight="1" s="350">
      <c r="A55" s="117" t="inlineStr">
        <is>
          <t>descompunere Rec = Rec = R_(EBIT-impozit) · viteza de rotatie a activelor · rata de structura aferenta capitalului investit</t>
        </is>
      </c>
      <c r="B55" s="119" t="n"/>
      <c r="C55" s="119" t="n"/>
      <c r="D55" s="119" t="n"/>
    </row>
    <row r="56" ht="15" customFormat="1" customHeight="1" s="104">
      <c r="A56" s="117" t="inlineStr">
        <is>
          <t>R_(EBIT-impozit) = (EBIT-impozit)/CA</t>
        </is>
      </c>
      <c r="B56" s="120">
        <f>IF(B44&lt;0,"nu se calculeaza",IFERROR(('1C-Analiza_fin_extinsa'!B49-'1C-Analiza_fin_extinsa'!B45)/'1C-Analiza_fin_extinsa'!B25,""))</f>
        <v/>
      </c>
      <c r="C56" s="120">
        <f>IF(C44&lt;0,"nu se calculeaza",IFERROR(('1C-Analiza_fin_extinsa'!C49-'1C-Analiza_fin_extinsa'!C45)/'1C-Analiza_fin_extinsa'!C25,""))</f>
        <v/>
      </c>
      <c r="D56" s="120">
        <f>IF(D44&lt;0,"nu se calculeaza",IFERROR(('1C-Analiza_fin_extinsa'!D49-'1C-Analiza_fin_extinsa'!D45)/'1C-Analiza_fin_extinsa'!D25,""))</f>
        <v/>
      </c>
    </row>
    <row r="57">
      <c r="A57" s="117" t="inlineStr">
        <is>
          <t>viteza de rotatie a activelor = CA/Active</t>
        </is>
      </c>
      <c r="B57" s="131">
        <f>B48</f>
        <v/>
      </c>
      <c r="C57" s="131">
        <f>C48</f>
        <v/>
      </c>
      <c r="D57" s="131">
        <f>D48</f>
        <v/>
      </c>
    </row>
    <row r="58">
      <c r="A58" s="117" t="inlineStr">
        <is>
          <t>rata de structura aferenta capitalului investit = Active/cap investit</t>
        </is>
      </c>
      <c r="B58" s="131">
        <f>IFERROR(('1C-Analiza_fin_extinsa'!B21/('1C-Analiza_fin_extinsa'!B20+'1C-Analiza_fin_extinsa'!B16)),"")</f>
        <v/>
      </c>
      <c r="C58" s="131">
        <f>IFERROR(('1C-Analiza_fin_extinsa'!C21/('1C-Analiza_fin_extinsa'!C20+'1C-Analiza_fin_extinsa'!C16)),"")</f>
        <v/>
      </c>
      <c r="D58" s="131">
        <f>IFERROR(('1C-Analiza_fin_extinsa'!D21/('1C-Analiza_fin_extinsa'!D20+'1C-Analiza_fin_extinsa'!D16)),"")</f>
        <v/>
      </c>
    </row>
    <row r="59">
      <c r="A59" s="373" t="inlineStr">
        <is>
          <t>efect de levier = ROE-Rec</t>
        </is>
      </c>
      <c r="B59" s="122">
        <f>IFERROR(B49-B54,"")</f>
        <v/>
      </c>
      <c r="C59" s="122">
        <f>IFERROR(C49-C54,"")</f>
        <v/>
      </c>
      <c r="D59" s="122">
        <f>IFERROR(D49-D54,"")</f>
        <v/>
      </c>
    </row>
    <row r="60" ht="15" customFormat="1" customHeight="1" s="104">
      <c r="A60" s="175" t="n"/>
      <c r="B60" s="370" t="n"/>
      <c r="C60" s="370" t="n"/>
      <c r="D60" s="370" t="n"/>
    </row>
    <row r="61">
      <c r="A61" s="373" t="inlineStr">
        <is>
          <t>Durate de rotatie</t>
        </is>
      </c>
      <c r="B61" s="406">
        <f>'1A-Bilant'!B5</f>
        <v/>
      </c>
      <c r="C61" s="406">
        <f>'1A-Bilant'!C5</f>
        <v/>
      </c>
      <c r="D61" s="406">
        <f>'1A-Bilant'!D5</f>
        <v/>
      </c>
    </row>
    <row r="62">
      <c r="A62" s="117" t="inlineStr">
        <is>
          <t>Durata de rotatie a activelor totale = (Active totale / CA) · 360</t>
        </is>
      </c>
      <c r="B62" s="124">
        <f>IFERROR(('1C-Analiza_fin_extinsa'!B21*360)/'1C-Analiza_fin_extinsa'!B25,"")</f>
        <v/>
      </c>
      <c r="C62" s="124">
        <f>IFERROR(('1C-Analiza_fin_extinsa'!C21*360)/'1C-Analiza_fin_extinsa'!C25,"")</f>
        <v/>
      </c>
      <c r="D62" s="124">
        <f>IFERROR(('1C-Analiza_fin_extinsa'!D21*360)/'1C-Analiza_fin_extinsa'!D25,"")</f>
        <v/>
      </c>
    </row>
    <row r="63" ht="27.6" customFormat="1" customHeight="1" s="104">
      <c r="A63" s="117" t="inlineStr">
        <is>
          <t>Durata de rotatie a activelor imobilizate = (Active imobilizate / CA) · 360</t>
        </is>
      </c>
      <c r="B63" s="124">
        <f>IFERROR(('1C-Analiza_fin_extinsa'!B4*360)/'1C-Analiza_fin_extinsa'!B25,"")</f>
        <v/>
      </c>
      <c r="C63" s="124">
        <f>IFERROR(('1C-Analiza_fin_extinsa'!C4*360)/'1C-Analiza_fin_extinsa'!C25,"")</f>
        <v/>
      </c>
      <c r="D63" s="124">
        <f>IFERROR(('1C-Analiza_fin_extinsa'!D4*360)/'1C-Analiza_fin_extinsa'!D25,"")</f>
        <v/>
      </c>
    </row>
    <row r="64">
      <c r="A64" s="117" t="inlineStr">
        <is>
          <t>Durata de rotatie a activelor curente = (Active curente / CA) · 360</t>
        </is>
      </c>
      <c r="B64" s="124">
        <f>IFERROR(('1C-Analiza_fin_extinsa'!B5*360)/'1C-Analiza_fin_extinsa'!B25,"")</f>
        <v/>
      </c>
      <c r="C64" s="124">
        <f>IFERROR(('1C-Analiza_fin_extinsa'!C5*360)/'1C-Analiza_fin_extinsa'!C25,"")</f>
        <v/>
      </c>
      <c r="D64" s="124">
        <f>IFERROR(('1C-Analiza_fin_extinsa'!D5*360)/'1C-Analiza_fin_extinsa'!D25,"")</f>
        <v/>
      </c>
    </row>
    <row r="65">
      <c r="A65" s="117" t="inlineStr">
        <is>
          <t>Durata de rotatie a stocurilor = (Stocuri / CA) · 360</t>
        </is>
      </c>
      <c r="B65" s="124">
        <f>IFERROR(('1C-Analiza_fin_extinsa'!B6*360)/'1C-Analiza_fin_extinsa'!B25,"")</f>
        <v/>
      </c>
      <c r="C65" s="124">
        <f>IFERROR(('1C-Analiza_fin_extinsa'!C6*360)/'1C-Analiza_fin_extinsa'!C25,"")</f>
        <v/>
      </c>
      <c r="D65" s="124">
        <f>IFERROR(('1C-Analiza_fin_extinsa'!D6*360)/'1C-Analiza_fin_extinsa'!D25,"")</f>
        <v/>
      </c>
    </row>
    <row r="66">
      <c r="A66" s="117" t="inlineStr">
        <is>
          <t>Durata de rotatie a creantelor = (Creante / CA) · 360</t>
        </is>
      </c>
      <c r="B66" s="124">
        <f>IFERROR(('1C-Analiza_fin_extinsa'!B7*360)/'1C-Analiza_fin_extinsa'!B25,"")</f>
        <v/>
      </c>
      <c r="C66" s="124">
        <f>IFERROR(('1C-Analiza_fin_extinsa'!C7*360)/'1C-Analiza_fin_extinsa'!C25,"")</f>
        <v/>
      </c>
      <c r="D66" s="124">
        <f>IFERROR(('1C-Analiza_fin_extinsa'!D7*360)/'1C-Analiza_fin_extinsa'!D25,"")</f>
        <v/>
      </c>
    </row>
    <row r="67">
      <c r="A67" s="117" t="inlineStr">
        <is>
          <t>Durata de rotatie a furnizorilor = (Furnizori / CA) · 360</t>
        </is>
      </c>
      <c r="B67" s="124">
        <f>IFERROR(('1C-Analiza_fin_extinsa'!B13*360)/'1C-Analiza_fin_extinsa'!B25,"")</f>
        <v/>
      </c>
      <c r="C67" s="124">
        <f>IFERROR(('1C-Analiza_fin_extinsa'!C13*360)/'1C-Analiza_fin_extinsa'!C25,"")</f>
        <v/>
      </c>
      <c r="D67" s="124">
        <f>IFERROR(('1C-Analiza_fin_extinsa'!D13*360)/'1C-Analiza_fin_extinsa'!D25,"")</f>
        <v/>
      </c>
    </row>
    <row r="68" ht="15.6" customFormat="1" customHeight="1" s="125">
      <c r="A68" s="373" t="inlineStr">
        <is>
          <t>Viteze de rotatie</t>
        </is>
      </c>
      <c r="B68" s="406">
        <f>'1A-Bilant'!B5</f>
        <v/>
      </c>
      <c r="C68" s="406">
        <f>'1A-Bilant'!C5</f>
        <v/>
      </c>
      <c r="D68" s="406">
        <f>'1A-Bilant'!D5</f>
        <v/>
      </c>
    </row>
    <row r="69">
      <c r="A69" s="117" t="inlineStr">
        <is>
          <t>Viteza de rotatie a activelor totale = CA / Active totale</t>
        </is>
      </c>
      <c r="B69" s="131">
        <f>IFERROR('1C-Analiza_fin_extinsa'!B25/'1C-Analiza_fin_extinsa'!B21,"")</f>
        <v/>
      </c>
      <c r="C69" s="131">
        <f>IFERROR('1C-Analiza_fin_extinsa'!C25/'1C-Analiza_fin_extinsa'!C21,"")</f>
        <v/>
      </c>
      <c r="D69" s="131">
        <f>IFERROR('1C-Analiza_fin_extinsa'!D25/'1C-Analiza_fin_extinsa'!D21,"")</f>
        <v/>
      </c>
    </row>
    <row r="70" ht="15" customFormat="1" customHeight="1" s="104">
      <c r="A70" s="117" t="inlineStr">
        <is>
          <t>Viteza de rotatie a activelor imobilizate = CA / Active imobilizate</t>
        </is>
      </c>
      <c r="B70" s="131">
        <f>IFERROR('1C-Analiza_fin_extinsa'!B25/'1C-Analiza_fin_extinsa'!B4,"")</f>
        <v/>
      </c>
      <c r="C70" s="131">
        <f>IFERROR('1C-Analiza_fin_extinsa'!C25/'1C-Analiza_fin_extinsa'!C4,"")</f>
        <v/>
      </c>
      <c r="D70" s="131">
        <f>IFERROR('1C-Analiza_fin_extinsa'!D25/'1C-Analiza_fin_extinsa'!D4,"")</f>
        <v/>
      </c>
    </row>
    <row r="71" ht="15" customFormat="1" customHeight="1" s="104">
      <c r="A71" s="117" t="inlineStr">
        <is>
          <t>Viteza de rotatie a activelor curente = CA / Active curente</t>
        </is>
      </c>
      <c r="B71" s="131">
        <f>IFERROR('1C-Analiza_fin_extinsa'!B25/'1C-Analiza_fin_extinsa'!B5,"")</f>
        <v/>
      </c>
      <c r="C71" s="131">
        <f>IFERROR('1C-Analiza_fin_extinsa'!C25/'1C-Analiza_fin_extinsa'!C5,"")</f>
        <v/>
      </c>
      <c r="D71" s="131">
        <f>IFERROR('1C-Analiza_fin_extinsa'!D25/'1C-Analiza_fin_extinsa'!D5,"")</f>
        <v/>
      </c>
    </row>
    <row r="72" ht="15" customFormat="1" customHeight="1" s="104">
      <c r="A72" s="117" t="inlineStr">
        <is>
          <t>Viteza de rotatie a stocurilor = CA / Stocuri</t>
        </is>
      </c>
      <c r="B72" s="131">
        <f>IFERROR('1C-Analiza_fin_extinsa'!B25/'1C-Analiza_fin_extinsa'!B6,"")</f>
        <v/>
      </c>
      <c r="C72" s="131">
        <f>IFERROR('1C-Analiza_fin_extinsa'!C25/'1C-Analiza_fin_extinsa'!C6,"")</f>
        <v/>
      </c>
      <c r="D72" s="131">
        <f>IFERROR('1C-Analiza_fin_extinsa'!D25/'1C-Analiza_fin_extinsa'!D6,"")</f>
        <v/>
      </c>
    </row>
    <row r="73" ht="15" customFormat="1" customHeight="1" s="104">
      <c r="A73" s="117" t="inlineStr">
        <is>
          <t>Viteza de rotatie a creantelor = CA / Creante</t>
        </is>
      </c>
      <c r="B73" s="131">
        <f>IFERROR('1C-Analiza_fin_extinsa'!B25/'1C-Analiza_fin_extinsa'!B7,"")</f>
        <v/>
      </c>
      <c r="C73" s="131">
        <f>IFERROR('1C-Analiza_fin_extinsa'!C25/'1C-Analiza_fin_extinsa'!C7,"")</f>
        <v/>
      </c>
      <c r="D73" s="131">
        <f>IFERROR('1C-Analiza_fin_extinsa'!D25/'1C-Analiza_fin_extinsa'!D7,"")</f>
        <v/>
      </c>
    </row>
    <row r="74" ht="15" customFormat="1" customHeight="1" s="104">
      <c r="A74" s="117" t="inlineStr">
        <is>
          <t>Viteza de rotatie a furnizorilor = CA / Furnizori</t>
        </is>
      </c>
      <c r="B74" s="131">
        <f>IFERROR('1C-Analiza_fin_extinsa'!B25/'1C-Analiza_fin_extinsa'!B13,"")</f>
        <v/>
      </c>
      <c r="C74" s="131">
        <f>IFERROR('1C-Analiza_fin_extinsa'!C25/'1C-Analiza_fin_extinsa'!C13,"")</f>
        <v/>
      </c>
      <c r="D74" s="131">
        <f>IFERROR('1C-Analiza_fin_extinsa'!D25/'1C-Analiza_fin_extinsa'!D13,"")</f>
        <v/>
      </c>
    </row>
    <row r="75" hidden="1" ht="15" customFormat="1" customHeight="1" s="104">
      <c r="A75" s="126" t="inlineStr">
        <is>
          <t>Coeficient de proportionalitate fata de cifra de afaceri</t>
        </is>
      </c>
      <c r="B75" s="370" t="n"/>
      <c r="C75" s="370" t="n"/>
      <c r="D75" s="370" t="n"/>
    </row>
    <row r="76" hidden="1" ht="15" customFormat="1" customHeight="1" s="104">
      <c r="A76" s="175" t="inlineStr">
        <is>
          <t>Coeficient al activelor totale</t>
        </is>
      </c>
      <c r="B76" s="176">
        <f>'1C-Analiza_fin_extinsa'!B21/'1C-Analiza_fin_extinsa'!B25</f>
        <v/>
      </c>
      <c r="C76" s="176">
        <f>'1C-Analiza_fin_extinsa'!C21/'1C-Analiza_fin_extinsa'!C25</f>
        <v/>
      </c>
      <c r="D76" s="176">
        <f>'1C-Analiza_fin_extinsa'!D21/'1C-Analiza_fin_extinsa'!D25</f>
        <v/>
      </c>
    </row>
    <row r="77" hidden="1" ht="15" customFormat="1" customHeight="1" s="104">
      <c r="A77" s="175" t="inlineStr">
        <is>
          <t>Coeficient al activelor imobilizate</t>
        </is>
      </c>
      <c r="B77" s="176">
        <f>'1C-Analiza_fin_extinsa'!B4/'1C-Analiza_fin_extinsa'!B25</f>
        <v/>
      </c>
      <c r="C77" s="176">
        <f>'1C-Analiza_fin_extinsa'!C4/'1C-Analiza_fin_extinsa'!C25</f>
        <v/>
      </c>
      <c r="D77" s="176">
        <f>'1C-Analiza_fin_extinsa'!D4/'1C-Analiza_fin_extinsa'!D25</f>
        <v/>
      </c>
    </row>
    <row r="78" hidden="1" ht="15" customFormat="1" customHeight="1" s="104">
      <c r="A78" s="175" t="inlineStr">
        <is>
          <t>Coeficient al activelor curente</t>
        </is>
      </c>
      <c r="B78" s="176">
        <f>'1C-Analiza_fin_extinsa'!B5/'1C-Analiza_fin_extinsa'!B25</f>
        <v/>
      </c>
      <c r="C78" s="176">
        <f>'1C-Analiza_fin_extinsa'!C5/'1C-Analiza_fin_extinsa'!C25</f>
        <v/>
      </c>
      <c r="D78" s="176">
        <f>'1C-Analiza_fin_extinsa'!D5/'1C-Analiza_fin_extinsa'!D25</f>
        <v/>
      </c>
    </row>
    <row r="79" hidden="1" ht="15" customFormat="1" customHeight="1" s="104">
      <c r="A79" s="175" t="inlineStr">
        <is>
          <t>Coeficient al stocurilor</t>
        </is>
      </c>
      <c r="B79" s="176">
        <f>'1C-Analiza_fin_extinsa'!B6/'1C-Analiza_fin_extinsa'!B25</f>
        <v/>
      </c>
      <c r="C79" s="176">
        <f>'1C-Analiza_fin_extinsa'!C6/'1C-Analiza_fin_extinsa'!C25</f>
        <v/>
      </c>
      <c r="D79" s="176">
        <f>'1C-Analiza_fin_extinsa'!D6/'1C-Analiza_fin_extinsa'!D25</f>
        <v/>
      </c>
    </row>
    <row r="80" hidden="1" ht="15" customFormat="1" customHeight="1" s="104">
      <c r="A80" s="175" t="inlineStr">
        <is>
          <t>Coeficient al creantelor</t>
        </is>
      </c>
      <c r="B80" s="176">
        <f>'1C-Analiza_fin_extinsa'!B7/'1C-Analiza_fin_extinsa'!B25</f>
        <v/>
      </c>
      <c r="C80" s="176">
        <f>'1C-Analiza_fin_extinsa'!C7/'1C-Analiza_fin_extinsa'!C25</f>
        <v/>
      </c>
      <c r="D80" s="176">
        <f>'1C-Analiza_fin_extinsa'!D7/'1C-Analiza_fin_extinsa'!D25</f>
        <v/>
      </c>
    </row>
    <row r="81" hidden="1" ht="15" customFormat="1" customHeight="1" s="104">
      <c r="A81" s="175" t="inlineStr">
        <is>
          <t>Coeficient al furnizorilor</t>
        </is>
      </c>
      <c r="B81" s="176">
        <f>'1C-Analiza_fin_extinsa'!B13/'1C-Analiza_fin_extinsa'!B25</f>
        <v/>
      </c>
      <c r="C81" s="176">
        <f>'1C-Analiza_fin_extinsa'!C13/'1C-Analiza_fin_extinsa'!C25</f>
        <v/>
      </c>
      <c r="D81" s="176">
        <f>'1C-Analiza_fin_extinsa'!D13/'1C-Analiza_fin_extinsa'!D25</f>
        <v/>
      </c>
    </row>
    <row r="82" hidden="1" ht="15" customFormat="1" customHeight="1" s="104">
      <c r="A82" s="129" t="inlineStr">
        <is>
          <t>Coeficient al lichiditatilor</t>
        </is>
      </c>
      <c r="B82" s="130">
        <f>'1C-Analiza_fin_extinsa'!B9/'1C-Analiza_fin_extinsa'!B25</f>
        <v/>
      </c>
      <c r="C82" s="130">
        <f>'1C-Analiza_fin_extinsa'!C9/'1C-Analiza_fin_extinsa'!C25</f>
        <v/>
      </c>
      <c r="D82" s="130">
        <f>'1C-Analiza_fin_extinsa'!D9/'1C-Analiza_fin_extinsa'!D25</f>
        <v/>
      </c>
    </row>
    <row r="83">
      <c r="A83" s="175" t="n"/>
      <c r="B83" s="370" t="n"/>
      <c r="C83" s="370" t="n"/>
      <c r="D83" s="370" t="n"/>
    </row>
    <row r="84">
      <c r="A84" s="373" t="inlineStr">
        <is>
          <t>Rate de lichiditate</t>
        </is>
      </c>
      <c r="B84" s="406">
        <f>'1A-Bilant'!B5</f>
        <v/>
      </c>
      <c r="C84" s="406">
        <f>'1A-Bilant'!C5</f>
        <v/>
      </c>
      <c r="D84" s="406">
        <f>'1A-Bilant'!D5</f>
        <v/>
      </c>
    </row>
    <row r="85">
      <c r="A85" s="356" t="inlineStr">
        <is>
          <t>lichiditatea curenta  = active curente / datorii curente</t>
        </is>
      </c>
      <c r="B85" s="357">
        <f>IFERROR('1C-Analiza_fin_extinsa'!B5/'1C-Analiza_fin_extinsa'!B11,"")</f>
        <v/>
      </c>
      <c r="C85" s="357">
        <f>IFERROR('1C-Analiza_fin_extinsa'!C5/'1C-Analiza_fin_extinsa'!C11,"")</f>
        <v/>
      </c>
      <c r="D85" s="357">
        <f>IFERROR('1C-Analiza_fin_extinsa'!D5/'1C-Analiza_fin_extinsa'!D11,"")</f>
        <v/>
      </c>
      <c r="F85" s="355" t="n"/>
    </row>
    <row r="86">
      <c r="A86" s="117" t="inlineStr">
        <is>
          <t>lichiditatea intermediara  = (active curente - stocuri) / datorii curente</t>
        </is>
      </c>
      <c r="B86" s="131">
        <f>IFERROR(('1C-Analiza_fin_extinsa'!B5-'1C-Analiza_fin_extinsa'!B6)/'1C-Analiza_fin_extinsa'!B11,"")</f>
        <v/>
      </c>
      <c r="C86" s="131">
        <f>IFERROR(('1C-Analiza_fin_extinsa'!C5-'1C-Analiza_fin_extinsa'!C6)/'1C-Analiza_fin_extinsa'!C11,"")</f>
        <v/>
      </c>
      <c r="D86" s="131">
        <f>IFERROR(('1C-Analiza_fin_extinsa'!D5-'1C-Analiza_fin_extinsa'!D6)/'1C-Analiza_fin_extinsa'!D11,"")</f>
        <v/>
      </c>
    </row>
    <row r="87" customFormat="1" s="405">
      <c r="A87" s="117" t="inlineStr">
        <is>
          <t>lichiditatea la vedere  =  lichiditati / datorii curente</t>
        </is>
      </c>
      <c r="B87" s="131">
        <f>IFERROR('1C-Analiza_fin_extinsa'!B9/'1C-Analiza_fin_extinsa'!B11,"")</f>
        <v/>
      </c>
      <c r="C87" s="131">
        <f>IFERROR('1C-Analiza_fin_extinsa'!C9/'1C-Analiza_fin_extinsa'!C11,"")</f>
        <v/>
      </c>
      <c r="D87" s="131">
        <f>IFERROR('1C-Analiza_fin_extinsa'!D9/'1C-Analiza_fin_extinsa'!D11,"")</f>
        <v/>
      </c>
    </row>
    <row r="88" customFormat="1" s="405">
      <c r="A88" s="175" t="n"/>
      <c r="B88" s="370" t="n"/>
      <c r="C88" s="370" t="n"/>
      <c r="D88" s="370" t="n"/>
    </row>
    <row r="89" customFormat="1" s="405">
      <c r="A89" s="177" t="inlineStr">
        <is>
          <t>Rate de solvabilitate si indatorare</t>
        </is>
      </c>
      <c r="B89" s="406">
        <f>'1A-Bilant'!B5</f>
        <v/>
      </c>
      <c r="C89" s="406">
        <f>'1A-Bilant'!C5</f>
        <v/>
      </c>
      <c r="D89" s="406">
        <f>'1A-Bilant'!D5</f>
        <v/>
      </c>
    </row>
    <row r="90" customFormat="1" s="405">
      <c r="A90" s="117" t="inlineStr">
        <is>
          <t>Rata solvabilității = Active totale/ Datorii curente</t>
        </is>
      </c>
      <c r="B90" s="131">
        <f>IFERROR('1C-Analiza_fin_extinsa'!B10/'1C-Analiza_fin_extinsa'!B11,"")</f>
        <v/>
      </c>
      <c r="C90" s="131">
        <f>IFERROR('1C-Analiza_fin_extinsa'!C10/'1C-Analiza_fin_extinsa'!C11,"")</f>
        <v/>
      </c>
      <c r="D90" s="131">
        <f>IFERROR('1C-Analiza_fin_extinsa'!D10/'1C-Analiza_fin_extinsa'!D11,"")</f>
        <v/>
      </c>
    </row>
    <row r="91" customFormat="1" s="405">
      <c r="A91" s="356" t="inlineStr">
        <is>
          <t xml:space="preserve">Rata solvabilitatii generale  = Active totale / Datorii totale </t>
        </is>
      </c>
      <c r="B91" s="357">
        <f>IFERROR('1C-Analiza_fin_extinsa'!B10/('1C-Analiza_fin_extinsa'!B11+'1C-Analiza_fin_extinsa'!B16),"")</f>
        <v/>
      </c>
      <c r="C91" s="357">
        <f>IFERROR('1C-Analiza_fin_extinsa'!C10/('1C-Analiza_fin_extinsa'!C11+'1C-Analiza_fin_extinsa'!C16),"")</f>
        <v/>
      </c>
      <c r="D91" s="357">
        <f>IFERROR('1C-Analiza_fin_extinsa'!D10/('1C-Analiza_fin_extinsa'!D11+'1C-Analiza_fin_extinsa'!D16),"")</f>
        <v/>
      </c>
    </row>
    <row r="92" ht="27.6" customFormat="1" customHeight="1" s="405">
      <c r="A92" s="117" t="inlineStr">
        <is>
          <t>Rata solvabilitatii patrimoniale: = Capital propriu/capital propriu+datorii pe termen mediu şi lung, peste 1 an</t>
        </is>
      </c>
      <c r="B92" s="131">
        <f>IFERROR('1C-Analiza_fin_extinsa'!B20/('1C-Analiza_fin_extinsa'!B20+'1C-Analiza_fin_extinsa'!B16),"")</f>
        <v/>
      </c>
      <c r="C92" s="131">
        <f>IFERROR('1C-Analiza_fin_extinsa'!C20/('1C-Analiza_fin_extinsa'!C20+'1C-Analiza_fin_extinsa'!C16),"")</f>
        <v/>
      </c>
      <c r="D92" s="131">
        <f>IFERROR('1C-Analiza_fin_extinsa'!D20/('1C-Analiza_fin_extinsa'!D20+'1C-Analiza_fin_extinsa'!D16),"")</f>
        <v/>
      </c>
    </row>
    <row r="93" customFormat="1" s="405">
      <c r="A93" s="117" t="inlineStr">
        <is>
          <t>Ponderea capitalului propriu in activ = Capital propriu / Activ</t>
        </is>
      </c>
      <c r="B93" s="120">
        <f>IFERROR('1C-Analiza_fin_extinsa'!B20/'1C-Analiza_fin_extinsa'!B21,"")</f>
        <v/>
      </c>
      <c r="C93" s="120">
        <f>IFERROR('1C-Analiza_fin_extinsa'!C20/'1C-Analiza_fin_extinsa'!C21,"")</f>
        <v/>
      </c>
      <c r="D93" s="120">
        <f>IFERROR('1C-Analiza_fin_extinsa'!D20/'1C-Analiza_fin_extinsa'!D21,"")</f>
        <v/>
      </c>
    </row>
    <row r="94" customFormat="1" s="405">
      <c r="A94" s="117" t="inlineStr">
        <is>
          <t>Levier = Datorii pe termen lung / Capital propriu</t>
        </is>
      </c>
      <c r="B94" s="120">
        <f>IFERROR('1C-Analiza_fin_extinsa'!B16/'1C-Analiza_fin_extinsa'!B20,"")</f>
        <v/>
      </c>
      <c r="C94" s="120">
        <f>IFERROR('1C-Analiza_fin_extinsa'!C16/'1C-Analiza_fin_extinsa'!C20,"")</f>
        <v/>
      </c>
      <c r="D94" s="120">
        <f>IFERROR('1C-Analiza_fin_extinsa'!D16/'1C-Analiza_fin_extinsa'!D20,"")</f>
        <v/>
      </c>
    </row>
    <row r="95" customFormat="1" s="405">
      <c r="A95" s="117" t="inlineStr">
        <is>
          <t>Grad de indatorare pe termen lung = Datorii pe termen lung / Activ</t>
        </is>
      </c>
      <c r="B95" s="120">
        <f>IFERROR('1C-Analiza_fin_extinsa'!B16/'1C-Analiza_fin_extinsa'!B21,"")</f>
        <v/>
      </c>
      <c r="C95" s="120">
        <f>IFERROR('1C-Analiza_fin_extinsa'!C16/'1C-Analiza_fin_extinsa'!C21,"")</f>
        <v/>
      </c>
      <c r="D95" s="120">
        <f>IFERROR('1C-Analiza_fin_extinsa'!D16/'1C-Analiza_fin_extinsa'!D21,"")</f>
        <v/>
      </c>
    </row>
    <row r="96" ht="15" customFormat="1" customHeight="1" s="405">
      <c r="A96" s="117" t="inlineStr">
        <is>
          <t>Grad de indatorare pe termen scurt = Datorii pe termen scurt / Activ</t>
        </is>
      </c>
      <c r="B96" s="120">
        <f>IFERROR('1C-Analiza_fin_extinsa'!B11/'1C-Analiza_fin_extinsa'!B21,"")</f>
        <v/>
      </c>
      <c r="C96" s="120">
        <f>IFERROR('1C-Analiza_fin_extinsa'!C11/'1C-Analiza_fin_extinsa'!C21,"")</f>
        <v/>
      </c>
      <c r="D96" s="120">
        <f>IFERROR('1C-Analiza_fin_extinsa'!D11/'1C-Analiza_fin_extinsa'!D21,"")</f>
        <v/>
      </c>
    </row>
    <row r="97" customFormat="1" s="405">
      <c r="A97" s="358" t="inlineStr">
        <is>
          <t>Grad total de indatorare = Datorii totale / Activ</t>
        </is>
      </c>
      <c r="B97" s="359">
        <f>IFERROR(('1C-Analiza_fin_extinsa'!B11+'1C-Analiza_fin_extinsa'!B16)/'1C-Analiza_fin_extinsa'!B21,"")</f>
        <v/>
      </c>
      <c r="C97" s="359">
        <f>IFERROR(('1C-Analiza_fin_extinsa'!C11+'1C-Analiza_fin_extinsa'!C16)/'1C-Analiza_fin_extinsa'!C21,"")</f>
        <v/>
      </c>
      <c r="D97" s="359">
        <f>IFERROR(('1C-Analiza_fin_extinsa'!D11+'1C-Analiza_fin_extinsa'!D16)/'1C-Analiza_fin_extinsa'!D21,"")</f>
        <v/>
      </c>
    </row>
    <row r="98">
      <c r="A98" s="175" t="n"/>
      <c r="B98" s="370" t="n"/>
      <c r="C98" s="370" t="n"/>
      <c r="D98" s="370" t="n"/>
    </row>
    <row r="99">
      <c r="A99" s="175" t="n"/>
      <c r="B99" s="370" t="n"/>
      <c r="C99" s="370" t="n"/>
      <c r="D99" s="370" t="n"/>
    </row>
    <row r="100">
      <c r="A100" s="175" t="n"/>
      <c r="B100" s="370" t="n"/>
      <c r="C100" s="370" t="n"/>
      <c r="D100" s="370" t="n"/>
    </row>
    <row r="101">
      <c r="A101" s="175" t="n"/>
      <c r="B101" s="370" t="n"/>
      <c r="C101" s="370" t="n"/>
      <c r="D101" s="370" t="n"/>
    </row>
    <row r="102">
      <c r="A102" s="175" t="n"/>
      <c r="B102" s="370" t="n"/>
      <c r="C102" s="370" t="n"/>
      <c r="D102" s="370" t="n"/>
    </row>
    <row r="103">
      <c r="A103" s="175" t="n"/>
      <c r="B103" s="370" t="n"/>
      <c r="C103" s="370" t="n"/>
      <c r="D103" s="370" t="n"/>
    </row>
    <row r="104">
      <c r="A104" s="175" t="n"/>
      <c r="B104" s="370" t="n"/>
      <c r="C104" s="370" t="n"/>
      <c r="D104" s="370" t="n"/>
    </row>
    <row r="105">
      <c r="A105" s="175" t="n"/>
      <c r="B105" s="370" t="n"/>
      <c r="C105" s="370" t="n"/>
      <c r="D105" s="370" t="n"/>
    </row>
    <row r="106">
      <c r="A106" s="175" t="n"/>
      <c r="B106" s="370" t="n"/>
      <c r="C106" s="370" t="n"/>
      <c r="D106" s="370" t="n"/>
    </row>
    <row r="107">
      <c r="A107" s="175" t="n"/>
      <c r="B107" s="370" t="n"/>
      <c r="C107" s="370" t="n"/>
      <c r="D107" s="370" t="n"/>
    </row>
    <row r="108">
      <c r="A108" s="175" t="n"/>
      <c r="B108" s="370" t="n"/>
      <c r="C108" s="370" t="n"/>
      <c r="D108" s="370" t="n"/>
    </row>
    <row r="109">
      <c r="A109" s="175" t="n"/>
      <c r="B109" s="370" t="n"/>
      <c r="C109" s="370" t="n"/>
      <c r="D109" s="370" t="n"/>
    </row>
    <row r="110">
      <c r="A110" s="175" t="n"/>
      <c r="B110" s="370" t="n"/>
      <c r="C110" s="370" t="n"/>
      <c r="D110" s="370" t="n"/>
    </row>
    <row r="111">
      <c r="A111" s="175" t="n"/>
      <c r="B111" s="370" t="n"/>
      <c r="C111" s="370" t="n"/>
      <c r="D111" s="370" t="n"/>
    </row>
    <row r="112">
      <c r="A112" s="175" t="n"/>
      <c r="B112" s="370" t="n"/>
      <c r="C112" s="370" t="n"/>
      <c r="D112" s="370" t="n"/>
    </row>
    <row r="113">
      <c r="A113" s="175" t="n"/>
      <c r="B113" s="370" t="n"/>
      <c r="C113" s="370" t="n"/>
      <c r="D113" s="370" t="n"/>
    </row>
    <row r="114">
      <c r="A114" s="175" t="n"/>
      <c r="B114" s="370" t="n"/>
      <c r="C114" s="370" t="n"/>
      <c r="D114" s="370" t="n"/>
    </row>
    <row r="115">
      <c r="A115" s="175" t="n"/>
      <c r="B115" s="370" t="n"/>
      <c r="C115" s="370" t="n"/>
      <c r="D115" s="370" t="n"/>
    </row>
    <row r="116">
      <c r="A116" s="175" t="n"/>
      <c r="B116" s="370" t="n"/>
      <c r="C116" s="370" t="n"/>
      <c r="D116" s="370" t="n"/>
    </row>
    <row r="117">
      <c r="A117" s="175" t="n"/>
      <c r="B117" s="370" t="n"/>
      <c r="C117" s="370" t="n"/>
      <c r="D117" s="370" t="n"/>
    </row>
    <row r="118">
      <c r="A118" s="175" t="n"/>
      <c r="B118" s="370" t="n"/>
      <c r="C118" s="370" t="n"/>
      <c r="D118" s="370" t="n"/>
    </row>
    <row r="119">
      <c r="A119" s="175" t="n"/>
      <c r="B119" s="370" t="n"/>
      <c r="C119" s="370" t="n"/>
      <c r="D119" s="370" t="n"/>
    </row>
    <row r="120">
      <c r="A120" s="175" t="n"/>
      <c r="B120" s="370" t="n"/>
      <c r="C120" s="370" t="n"/>
      <c r="D120" s="370" t="n"/>
    </row>
    <row r="121">
      <c r="A121" s="175" t="n"/>
      <c r="B121" s="370" t="n"/>
      <c r="C121" s="370" t="n"/>
      <c r="D121" s="370" t="n"/>
    </row>
    <row r="122">
      <c r="A122" s="175" t="n"/>
      <c r="B122" s="370" t="n"/>
      <c r="C122" s="370" t="n"/>
      <c r="D122" s="370" t="n"/>
    </row>
    <row r="123">
      <c r="A123" s="175" t="n"/>
      <c r="B123" s="370" t="n"/>
      <c r="C123" s="370" t="n"/>
      <c r="D123" s="370" t="n"/>
    </row>
    <row r="124">
      <c r="A124" s="175" t="n"/>
      <c r="B124" s="370" t="n"/>
      <c r="C124" s="370" t="n"/>
      <c r="D124" s="370" t="n"/>
    </row>
    <row r="125">
      <c r="A125" s="175" t="n"/>
      <c r="B125" s="370" t="n"/>
      <c r="C125" s="370" t="n"/>
      <c r="D125" s="370" t="n"/>
    </row>
    <row r="126">
      <c r="A126" s="175" t="n"/>
      <c r="B126" s="370" t="n"/>
      <c r="C126" s="370" t="n"/>
      <c r="D126" s="370" t="n"/>
    </row>
    <row r="127">
      <c r="A127" s="175" t="n"/>
      <c r="B127" s="370" t="n"/>
      <c r="C127" s="370" t="n"/>
      <c r="D127" s="370" t="n"/>
    </row>
    <row r="128">
      <c r="A128" s="175" t="n"/>
      <c r="B128" s="370" t="n"/>
      <c r="C128" s="370" t="n"/>
      <c r="D128" s="370" t="n"/>
    </row>
    <row r="129">
      <c r="A129" s="175" t="n"/>
      <c r="B129" s="370" t="n"/>
      <c r="C129" s="370" t="n"/>
      <c r="D129" s="370" t="n"/>
    </row>
    <row r="130">
      <c r="A130" s="175" t="n"/>
      <c r="B130" s="370" t="n"/>
      <c r="C130" s="370" t="n"/>
      <c r="D130" s="370" t="n"/>
    </row>
    <row r="131">
      <c r="A131" s="175" t="n"/>
      <c r="B131" s="370" t="n"/>
      <c r="C131" s="370" t="n"/>
      <c r="D131" s="370" t="n"/>
    </row>
    <row r="132">
      <c r="A132" s="175" t="n"/>
      <c r="B132" s="370" t="n"/>
      <c r="C132" s="370" t="n"/>
      <c r="D132" s="370" t="n"/>
    </row>
    <row r="133">
      <c r="A133" s="175" t="n"/>
      <c r="B133" s="370" t="n"/>
      <c r="C133" s="370" t="n"/>
      <c r="D133" s="370" t="n"/>
    </row>
    <row r="134">
      <c r="A134" s="175" t="n"/>
      <c r="B134" s="370" t="n"/>
      <c r="C134" s="370" t="n"/>
      <c r="D134" s="370" t="n"/>
    </row>
    <row r="135">
      <c r="A135" s="175" t="n"/>
      <c r="B135" s="370" t="n"/>
      <c r="C135" s="370" t="n"/>
      <c r="D135" s="370" t="n"/>
    </row>
    <row r="136">
      <c r="A136" s="175" t="n"/>
      <c r="B136" s="370" t="n"/>
      <c r="C136" s="370" t="n"/>
      <c r="D136" s="370" t="n"/>
    </row>
    <row r="137">
      <c r="A137" s="175" t="n"/>
      <c r="B137" s="370" t="n"/>
      <c r="C137" s="370" t="n"/>
      <c r="D137" s="370" t="n"/>
    </row>
    <row r="138">
      <c r="A138" s="175" t="n"/>
      <c r="B138" s="370" t="n"/>
      <c r="C138" s="370" t="n"/>
      <c r="D138" s="370" t="n"/>
    </row>
    <row r="139">
      <c r="A139" s="175" t="n"/>
      <c r="B139" s="370" t="n"/>
      <c r="C139" s="370" t="n"/>
      <c r="D139" s="370" t="n"/>
    </row>
    <row r="140">
      <c r="A140" s="175" t="n"/>
      <c r="B140" s="370" t="n"/>
      <c r="C140" s="370" t="n"/>
      <c r="D140" s="370" t="n"/>
    </row>
    <row r="141">
      <c r="A141" s="175" t="n"/>
      <c r="B141" s="370" t="n"/>
      <c r="C141" s="370" t="n"/>
      <c r="D141" s="370" t="n"/>
    </row>
    <row r="142">
      <c r="A142" s="175" t="n"/>
      <c r="B142" s="370" t="n"/>
      <c r="C142" s="370" t="n"/>
      <c r="D142" s="370" t="n"/>
    </row>
    <row r="143">
      <c r="A143" s="175" t="n"/>
      <c r="B143" s="370" t="n"/>
      <c r="C143" s="370" t="n"/>
      <c r="D143" s="370" t="n"/>
    </row>
    <row r="144">
      <c r="A144" s="175" t="n"/>
      <c r="B144" s="370" t="n"/>
      <c r="C144" s="370" t="n"/>
      <c r="D144" s="370" t="n"/>
    </row>
    <row r="145">
      <c r="A145" s="175" t="n"/>
      <c r="B145" s="370" t="n"/>
      <c r="C145" s="370" t="n"/>
      <c r="D145" s="370" t="n"/>
    </row>
    <row r="146">
      <c r="A146" s="175" t="n"/>
      <c r="B146" s="370" t="n"/>
      <c r="C146" s="370" t="n"/>
      <c r="D146" s="370" t="n"/>
    </row>
    <row r="147">
      <c r="A147" s="175" t="n"/>
      <c r="B147" s="370" t="n"/>
      <c r="C147" s="370" t="n"/>
      <c r="D147" s="370" t="n"/>
    </row>
    <row r="148">
      <c r="A148" s="175" t="n"/>
      <c r="B148" s="370" t="n"/>
      <c r="C148" s="370" t="n"/>
      <c r="D148" s="370" t="n"/>
    </row>
    <row r="149">
      <c r="A149" s="175" t="n"/>
      <c r="B149" s="370" t="n"/>
      <c r="C149" s="370" t="n"/>
      <c r="D149" s="370" t="n"/>
    </row>
    <row r="150">
      <c r="A150" s="175" t="n"/>
      <c r="B150" s="370" t="n"/>
      <c r="C150" s="370" t="n"/>
      <c r="D150" s="370" t="n"/>
    </row>
    <row r="151">
      <c r="A151" s="175" t="n"/>
      <c r="B151" s="370" t="n"/>
      <c r="C151" s="370" t="n"/>
      <c r="D151" s="370" t="n"/>
    </row>
    <row r="152">
      <c r="A152" s="175" t="n"/>
      <c r="B152" s="370" t="n"/>
      <c r="C152" s="370" t="n"/>
      <c r="D152" s="370" t="n"/>
    </row>
    <row r="153">
      <c r="A153" s="175" t="n"/>
      <c r="B153" s="370" t="n"/>
      <c r="C153" s="370" t="n"/>
      <c r="D153" s="370" t="n"/>
    </row>
    <row r="154">
      <c r="A154" s="175" t="n"/>
      <c r="B154" s="370" t="n"/>
      <c r="C154" s="370" t="n"/>
      <c r="D154" s="370" t="n"/>
    </row>
    <row r="155">
      <c r="A155" s="175" t="n"/>
      <c r="B155" s="370" t="n"/>
      <c r="C155" s="370" t="n"/>
      <c r="D155" s="370" t="n"/>
    </row>
    <row r="156">
      <c r="A156" s="175" t="n"/>
      <c r="B156" s="370" t="n"/>
      <c r="C156" s="370" t="n"/>
      <c r="D156" s="370" t="n"/>
    </row>
    <row r="157">
      <c r="A157" s="175" t="n"/>
      <c r="B157" s="370" t="n"/>
      <c r="C157" s="370" t="n"/>
      <c r="D157" s="370" t="n"/>
    </row>
    <row r="158">
      <c r="A158" s="175" t="n"/>
      <c r="B158" s="370" t="n"/>
      <c r="C158" s="370" t="n"/>
      <c r="D158" s="370" t="n"/>
    </row>
    <row r="159">
      <c r="A159" s="175" t="n"/>
      <c r="B159" s="370" t="n"/>
      <c r="C159" s="370" t="n"/>
      <c r="D159" s="370" t="n"/>
    </row>
    <row r="160">
      <c r="A160" s="175" t="n"/>
      <c r="B160" s="370" t="n"/>
      <c r="C160" s="370" t="n"/>
      <c r="D160" s="370" t="n"/>
    </row>
    <row r="161">
      <c r="A161" s="175" t="n"/>
      <c r="B161" s="370" t="n"/>
      <c r="C161" s="370" t="n"/>
      <c r="D161" s="370" t="n"/>
    </row>
    <row r="162">
      <c r="A162" s="175" t="n"/>
      <c r="B162" s="370" t="n"/>
      <c r="C162" s="370" t="n"/>
      <c r="D162" s="370" t="n"/>
    </row>
    <row r="163">
      <c r="A163" s="175" t="n"/>
      <c r="B163" s="370" t="n"/>
      <c r="C163" s="370" t="n"/>
      <c r="D163" s="370" t="n"/>
    </row>
    <row r="164">
      <c r="A164" s="175" t="n"/>
      <c r="B164" s="370" t="n"/>
      <c r="C164" s="370" t="n"/>
      <c r="D164" s="370" t="n"/>
    </row>
    <row r="165">
      <c r="A165" s="175" t="n"/>
      <c r="B165" s="370" t="n"/>
      <c r="C165" s="370" t="n"/>
      <c r="D165" s="370" t="n"/>
    </row>
    <row r="166">
      <c r="A166" s="175" t="n"/>
      <c r="B166" s="370" t="n"/>
      <c r="C166" s="370" t="n"/>
      <c r="D166" s="370" t="n"/>
    </row>
    <row r="167">
      <c r="A167" s="175" t="n"/>
      <c r="B167" s="370" t="n"/>
      <c r="C167" s="370" t="n"/>
      <c r="D167" s="370" t="n"/>
    </row>
    <row r="168">
      <c r="A168" s="175" t="n"/>
      <c r="B168" s="370" t="n"/>
      <c r="C168" s="370" t="n"/>
      <c r="D168" s="370" t="n"/>
    </row>
    <row r="169">
      <c r="A169" s="175" t="n"/>
      <c r="B169" s="370" t="n"/>
      <c r="C169" s="370" t="n"/>
      <c r="D169" s="370" t="n"/>
    </row>
    <row r="170">
      <c r="A170" s="175" t="n"/>
      <c r="B170" s="370" t="n"/>
      <c r="C170" s="370" t="n"/>
      <c r="D170" s="370" t="n"/>
    </row>
    <row r="171">
      <c r="A171" s="175" t="n"/>
      <c r="B171" s="370" t="n"/>
      <c r="C171" s="370" t="n"/>
      <c r="D171" s="370" t="n"/>
    </row>
    <row r="172">
      <c r="A172" s="175" t="n"/>
      <c r="B172" s="370" t="n"/>
      <c r="C172" s="370" t="n"/>
      <c r="D172" s="370" t="n"/>
    </row>
    <row r="173">
      <c r="A173" s="175" t="n"/>
      <c r="B173" s="370" t="n"/>
      <c r="C173" s="370" t="n"/>
      <c r="D173" s="370" t="n"/>
    </row>
    <row r="174">
      <c r="A174" s="175" t="n"/>
      <c r="B174" s="370" t="n"/>
      <c r="C174" s="370" t="n"/>
      <c r="D174" s="370" t="n"/>
    </row>
    <row r="175">
      <c r="A175" s="175" t="n"/>
      <c r="B175" s="370" t="n"/>
      <c r="C175" s="370" t="n"/>
      <c r="D175" s="370" t="n"/>
    </row>
    <row r="176">
      <c r="A176" s="175" t="n"/>
      <c r="B176" s="370" t="n"/>
      <c r="C176" s="370" t="n"/>
      <c r="D176" s="370" t="n"/>
    </row>
    <row r="177">
      <c r="A177" s="175" t="n"/>
      <c r="B177" s="370" t="n"/>
      <c r="C177" s="370" t="n"/>
      <c r="D177" s="370" t="n"/>
    </row>
    <row r="178">
      <c r="A178" s="175" t="n"/>
      <c r="B178" s="370" t="n"/>
      <c r="C178" s="370" t="n"/>
      <c r="D178" s="370" t="n"/>
    </row>
    <row r="179">
      <c r="A179" s="175" t="n"/>
      <c r="B179" s="370" t="n"/>
      <c r="C179" s="370" t="n"/>
      <c r="D179" s="370" t="n"/>
    </row>
    <row r="180">
      <c r="A180" s="175" t="n"/>
      <c r="B180" s="370" t="n"/>
      <c r="C180" s="370" t="n"/>
      <c r="D180" s="370" t="n"/>
    </row>
    <row r="181">
      <c r="A181" s="175" t="n"/>
      <c r="B181" s="370" t="n"/>
      <c r="C181" s="370" t="n"/>
      <c r="D181" s="370" t="n"/>
    </row>
    <row r="182">
      <c r="A182" s="175" t="n"/>
      <c r="B182" s="370" t="n"/>
      <c r="C182" s="370" t="n"/>
      <c r="D182" s="370" t="n"/>
    </row>
    <row r="183">
      <c r="A183" s="175" t="n"/>
      <c r="B183" s="370" t="n"/>
      <c r="C183" s="370" t="n"/>
      <c r="D183" s="370" t="n"/>
    </row>
    <row r="184">
      <c r="A184" s="175" t="n"/>
      <c r="B184" s="370" t="n"/>
      <c r="C184" s="370" t="n"/>
      <c r="D184" s="370" t="n"/>
    </row>
    <row r="185">
      <c r="A185" s="175" t="n"/>
      <c r="B185" s="370" t="n"/>
      <c r="C185" s="370" t="n"/>
      <c r="D185" s="370" t="n"/>
    </row>
    <row r="186">
      <c r="A186" s="175" t="n"/>
      <c r="B186" s="370" t="n"/>
      <c r="C186" s="370" t="n"/>
      <c r="D186" s="370" t="n"/>
    </row>
    <row r="187">
      <c r="A187" s="175" t="n"/>
      <c r="B187" s="370" t="n"/>
      <c r="C187" s="370" t="n"/>
      <c r="D187" s="370" t="n"/>
    </row>
    <row r="188">
      <c r="A188" s="175" t="n"/>
      <c r="B188" s="370" t="n"/>
      <c r="C188" s="370" t="n"/>
      <c r="D188" s="370" t="n"/>
    </row>
    <row r="189">
      <c r="A189" s="175" t="n"/>
      <c r="B189" s="370" t="n"/>
      <c r="C189" s="370" t="n"/>
      <c r="D189" s="370" t="n"/>
    </row>
    <row r="190">
      <c r="A190" s="175" t="n"/>
      <c r="B190" s="370" t="n"/>
      <c r="C190" s="370" t="n"/>
      <c r="D190" s="370" t="n"/>
    </row>
    <row r="191">
      <c r="A191" s="175" t="n"/>
      <c r="B191" s="370" t="n"/>
      <c r="C191" s="370" t="n"/>
      <c r="D191" s="370" t="n"/>
    </row>
    <row r="192">
      <c r="A192" s="175" t="n"/>
      <c r="B192" s="370" t="n"/>
      <c r="C192" s="370" t="n"/>
      <c r="D192" s="370" t="n"/>
    </row>
    <row r="193">
      <c r="A193" s="175" t="n"/>
      <c r="B193" s="370" t="n"/>
      <c r="C193" s="370" t="n"/>
      <c r="D193" s="370" t="n"/>
    </row>
    <row r="194">
      <c r="A194" s="175" t="n"/>
      <c r="B194" s="370" t="n"/>
      <c r="C194" s="370" t="n"/>
      <c r="D194" s="370" t="n"/>
    </row>
    <row r="195">
      <c r="A195" s="175" t="n"/>
      <c r="B195" s="370" t="n"/>
      <c r="C195" s="370" t="n"/>
      <c r="D195" s="370" t="n"/>
    </row>
    <row r="196">
      <c r="A196" s="175" t="n"/>
      <c r="B196" s="370" t="n"/>
      <c r="C196" s="370" t="n"/>
      <c r="D196" s="370" t="n"/>
    </row>
    <row r="197">
      <c r="A197" s="175" t="n"/>
      <c r="B197" s="370" t="n"/>
      <c r="C197" s="370" t="n"/>
      <c r="D197" s="370" t="n"/>
    </row>
    <row r="198">
      <c r="A198" s="175" t="n"/>
      <c r="B198" s="370" t="n"/>
      <c r="C198" s="370" t="n"/>
      <c r="D198" s="370" t="n"/>
    </row>
    <row r="199">
      <c r="A199" s="175" t="n"/>
      <c r="B199" s="370" t="n"/>
      <c r="C199" s="370" t="n"/>
      <c r="D199" s="370" t="n"/>
    </row>
    <row r="200">
      <c r="A200" s="175" t="n"/>
      <c r="B200" s="370" t="n"/>
      <c r="C200" s="370" t="n"/>
      <c r="D200" s="370" t="n"/>
    </row>
    <row r="201">
      <c r="A201" s="175" t="n"/>
      <c r="B201" s="370" t="n"/>
      <c r="C201" s="370" t="n"/>
      <c r="D201" s="370" t="n"/>
    </row>
    <row r="202">
      <c r="A202" s="175" t="n"/>
      <c r="B202" s="370" t="n"/>
      <c r="C202" s="370" t="n"/>
      <c r="D202" s="370" t="n"/>
    </row>
    <row r="203">
      <c r="A203" s="175" t="n"/>
      <c r="B203" s="370" t="n"/>
      <c r="C203" s="370" t="n"/>
      <c r="D203" s="370" t="n"/>
    </row>
    <row r="204">
      <c r="A204" s="175" t="n"/>
      <c r="B204" s="370" t="n"/>
      <c r="C204" s="370" t="n"/>
      <c r="D204" s="370" t="n"/>
    </row>
    <row r="205">
      <c r="A205" s="175" t="n"/>
      <c r="B205" s="370" t="n"/>
      <c r="C205" s="370" t="n"/>
      <c r="D205" s="370" t="n"/>
    </row>
    <row r="206">
      <c r="A206" s="175" t="n"/>
      <c r="B206" s="370" t="n"/>
      <c r="C206" s="370" t="n"/>
      <c r="D206" s="370" t="n"/>
    </row>
    <row r="207">
      <c r="A207" s="175" t="n"/>
      <c r="B207" s="370" t="n"/>
      <c r="C207" s="370" t="n"/>
      <c r="D207" s="370" t="n"/>
    </row>
    <row r="208">
      <c r="A208" s="175" t="n"/>
      <c r="B208" s="370" t="n"/>
      <c r="C208" s="370" t="n"/>
      <c r="D208" s="370" t="n"/>
    </row>
    <row r="209">
      <c r="A209" s="175" t="n"/>
      <c r="B209" s="370" t="n"/>
      <c r="C209" s="370" t="n"/>
      <c r="D209" s="370" t="n"/>
    </row>
    <row r="210">
      <c r="A210" s="175" t="n"/>
      <c r="B210" s="370" t="n"/>
      <c r="C210" s="370" t="n"/>
      <c r="D210" s="370" t="n"/>
    </row>
    <row r="211">
      <c r="A211" s="175" t="n"/>
      <c r="B211" s="370" t="n"/>
      <c r="C211" s="370" t="n"/>
      <c r="D211" s="370" t="n"/>
    </row>
    <row r="212">
      <c r="A212" s="175" t="n"/>
      <c r="B212" s="370" t="n"/>
      <c r="C212" s="370" t="n"/>
      <c r="D212" s="370" t="n"/>
    </row>
  </sheetData>
  <mergeCells count="3">
    <mergeCell ref="A1:D1"/>
    <mergeCell ref="A2:D2"/>
    <mergeCell ref="A3:D3"/>
  </mergeCells>
  <conditionalFormatting sqref="B43:D44">
    <cfRule type="cellIs" priority="1" operator="lessThan" dxfId="0">
      <formula>0</formula>
    </cfRule>
  </conditionalFormatting>
  <pageMargins left="0.7" right="0.7" top="0.75" bottom="0.75" header="0.3" footer="0.3"/>
  <pageSetup orientation="portrait" paperSize="9" fitToHeight="0" blackAndWhite="1" horizontalDpi="300" verticalDpi="300"/>
</worksheet>
</file>

<file path=xl/worksheets/sheet5.xml><?xml version="1.0" encoding="utf-8"?>
<worksheet xmlns="http://schemas.openxmlformats.org/spreadsheetml/2006/main">
  <sheetPr>
    <tabColor rgb="FF00B0F0"/>
    <outlinePr summaryBelow="1" summaryRight="1"/>
    <pageSetUpPr/>
  </sheetPr>
  <dimension ref="A1:F27"/>
  <sheetViews>
    <sheetView workbookViewId="0">
      <selection activeCell="F10" sqref="F10"/>
    </sheetView>
  </sheetViews>
  <sheetFormatPr baseColWidth="8" defaultColWidth="9.109375" defaultRowHeight="13.8"/>
  <cols>
    <col width="3.5546875" customWidth="1" style="405" min="1" max="1"/>
    <col width="9.109375" customWidth="1" style="405" min="2" max="4"/>
    <col width="15.5546875" customWidth="1" style="405" min="5" max="5"/>
    <col width="49.6640625" customWidth="1" style="405" min="6" max="6"/>
    <col width="9.109375" customWidth="1" style="405" min="7" max="16384"/>
  </cols>
  <sheetData>
    <row r="1" ht="14.4" customHeight="1" s="350">
      <c r="A1" s="435" t="inlineStr">
        <is>
          <t>1E -Verificarea încadrării solicitantului în categoria întreprinderilor în dificultate</t>
        </is>
      </c>
      <c r="B1" s="435" t="n"/>
      <c r="C1" s="435" t="n"/>
      <c r="D1" s="435" t="n"/>
      <c r="E1" s="134" t="n"/>
      <c r="F1" s="134" t="n"/>
    </row>
    <row r="2">
      <c r="A2" s="1" t="n"/>
      <c r="B2" s="1" t="n"/>
      <c r="C2" s="1" t="n"/>
      <c r="D2" s="1" t="n"/>
      <c r="E2" s="1" t="n"/>
      <c r="F2" s="1" t="n"/>
    </row>
    <row r="3">
      <c r="A3" s="442" t="inlineStr">
        <is>
          <t>Pentru a fi eligibil, solicitantul trebuie să nu se încadreze în categoria întreprinderilor în dificultate.</t>
        </is>
      </c>
    </row>
    <row r="4" ht="39" customHeight="1" s="350">
      <c r="A4" s="442" t="inlineStr">
        <is>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is>
      </c>
    </row>
    <row r="5">
      <c r="A5" s="442" t="n"/>
      <c r="B5" s="442" t="n"/>
      <c r="C5" s="442" t="n"/>
      <c r="D5" s="442" t="n"/>
      <c r="E5" s="442" t="n"/>
      <c r="F5" s="442" t="n"/>
    </row>
    <row r="6">
      <c r="A6" s="441" t="inlineStr">
        <is>
          <t>O întreprindere este considerată a fi în dificultate dacă este îndeplinită cel puțin una dintre următoarele condiții*:</t>
        </is>
      </c>
    </row>
    <row r="8" ht="54" customHeight="1" s="350">
      <c r="A8" s="2" t="inlineStr">
        <is>
          <t>1)</t>
        </is>
      </c>
      <c r="B8" s="440" t="inlineStr">
        <is>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is>
      </c>
      <c r="C8" s="552" t="n"/>
      <c r="D8" s="552" t="n"/>
      <c r="E8" s="552" t="n"/>
      <c r="F8" s="553" t="n"/>
    </row>
    <row r="9">
      <c r="A9" s="135" t="n"/>
      <c r="B9" s="443" t="inlineStr">
        <is>
          <t>i) Se calculează Rezultatul total acumulat al solicitantului</t>
        </is>
      </c>
      <c r="F9" s="554" t="n"/>
    </row>
    <row r="10">
      <c r="A10" s="135" t="n"/>
      <c r="B10" s="445" t="inlineStr">
        <is>
          <t>Rezultatul reportat</t>
        </is>
      </c>
      <c r="F10" s="386">
        <f>'1A-Bilant'!C82</f>
        <v/>
      </c>
    </row>
    <row r="11">
      <c r="A11" s="135" t="n"/>
      <c r="B11" s="445" t="inlineStr">
        <is>
          <t>Rezultatul exercitiului financiar</t>
        </is>
      </c>
      <c r="F11" s="386">
        <f>'1A-Bilant'!C85</f>
        <v/>
      </c>
    </row>
    <row r="12">
      <c r="A12" s="135" t="n"/>
      <c r="B12" s="447" t="inlineStr">
        <is>
          <t>Rezultatul total acumulat</t>
        </is>
      </c>
      <c r="F12" s="387">
        <f>F10+F11</f>
        <v/>
      </c>
    </row>
    <row r="13" ht="27" customHeight="1" s="350">
      <c r="A13" s="135" t="n"/>
      <c r="B13" s="450" t="inlineStr">
        <is>
          <t>Dacă Rezultatul total acumulat este pozitiv, atunci solicitantul nu se încadrează în categoria întreprinderilor în dificultate.</t>
        </is>
      </c>
      <c r="F13" s="554" t="n"/>
    </row>
    <row r="14" ht="25.5" customHeight="1" s="350">
      <c r="A14" s="135" t="n"/>
      <c r="B14" s="449" t="inlineStr">
        <is>
          <t>ii) Dacă Rezultatul total acumulat este negativ (Pierdere acumulata), atunci se calculează Pierderile de capital (Pierderea acumulata + Prime de capital + Rezerve din reevaluare + Rezerve)</t>
        </is>
      </c>
      <c r="C14" s="555" t="n"/>
      <c r="D14" s="555" t="n"/>
      <c r="E14" s="555" t="n"/>
      <c r="F14" s="556" t="n"/>
    </row>
    <row r="15">
      <c r="A15" s="135" t="n"/>
      <c r="B15" s="445" t="inlineStr">
        <is>
          <t>Capital social subscris si varsat</t>
        </is>
      </c>
      <c r="F15" s="386">
        <f>'1A-Bilant'!C69</f>
        <v/>
      </c>
    </row>
    <row r="16">
      <c r="A16" s="135" t="n"/>
      <c r="B16" s="445" t="inlineStr">
        <is>
          <t>Prime de capital</t>
        </is>
      </c>
      <c r="F16" s="386">
        <f>'1A-Bilant'!C74</f>
        <v/>
      </c>
    </row>
    <row r="17">
      <c r="A17" s="135" t="n"/>
      <c r="B17" s="446" t="inlineStr">
        <is>
          <t>Rezerve din reevaluare</t>
        </is>
      </c>
      <c r="F17" s="386">
        <f>'1A-Bilant'!C75</f>
        <v/>
      </c>
    </row>
    <row r="18">
      <c r="A18" s="135" t="n"/>
      <c r="B18" s="446" t="inlineStr">
        <is>
          <t>Rezerve</t>
        </is>
      </c>
      <c r="F18" s="386">
        <f>'1A-Bilant'!C78</f>
        <v/>
      </c>
    </row>
    <row r="19">
      <c r="A19" s="135" t="n"/>
      <c r="B19" s="444" t="inlineStr">
        <is>
          <t>Pierdere de capital (dacă rezultatul este negativ)</t>
        </is>
      </c>
      <c r="F19" s="387">
        <f>F12+SUM(F16:F18)</f>
        <v/>
      </c>
    </row>
    <row r="20" ht="29.25" customHeight="1" s="350">
      <c r="A20" s="135" t="n"/>
      <c r="B20" s="454" t="inlineStr">
        <is>
          <t>iii) Dacă valoarea rezultată este pozitivă (&gt;=0), ori valoarea rezultată negativă reprezintă cel mult 50% din Capital social subscris si vărsat, atunci solicitantul nu se încadrează în categoria întreprinderilor în dificultate.</t>
        </is>
      </c>
      <c r="C20" s="555" t="n"/>
      <c r="D20" s="555" t="n"/>
      <c r="E20" s="555" t="n"/>
      <c r="F20" s="556" t="n"/>
    </row>
    <row r="21" ht="18" customHeight="1" s="350">
      <c r="A21" s="135" t="n"/>
      <c r="B21" s="441" t="inlineStr">
        <is>
          <t>Rezultat:</t>
        </is>
      </c>
      <c r="C21" s="452">
        <f>CONCATENATE("Solicitantul ",IF(F12&gt;=0,"nu ",IF(F19&gt;=0,"nu ", IF(ABS(F19)&gt;F15/2,"","nu "))),"se încadrează în categoria întreprinderilor în dificultate")</f>
        <v/>
      </c>
      <c r="F21" s="554" t="n"/>
    </row>
    <row r="22">
      <c r="A22" s="135" t="n"/>
      <c r="B22" s="136" t="n"/>
      <c r="C22" s="136" t="n"/>
      <c r="D22" s="136" t="n"/>
      <c r="E22" s="136" t="n"/>
      <c r="F22" s="137" t="n"/>
    </row>
    <row r="23" ht="39" customHeight="1" s="350">
      <c r="A23" s="3" t="inlineStr">
        <is>
          <t>2)</t>
        </is>
      </c>
      <c r="B23" s="439" t="inlineStr">
        <is>
          <t>Atunci când întreprinderea face obiectul unei proceduri colective de insolvență sau îndeplinește criteriile prevăzute de legislația națională pentru inițierea unei proceduri colective de insolvență la cererea creditorilor săi.</t>
        </is>
      </c>
      <c r="C23" s="552" t="n"/>
      <c r="D23" s="552" t="n"/>
      <c r="E23" s="552" t="n"/>
      <c r="F23" s="552" t="n"/>
    </row>
    <row r="24" ht="26.25" customHeight="1" s="350">
      <c r="A24" s="3" t="inlineStr">
        <is>
          <t>3)</t>
        </is>
      </c>
      <c r="B24" s="439" t="inlineStr">
        <is>
          <t>Atunci când întreprinderea a primit ajutor pentru salvare și nu a rambursat încă împrumutul sau nu a încetat garanția sau a primit ajutoare pentru restructurare și face încă obiectul unui plan de restructurare.</t>
        </is>
      </c>
      <c r="C24" s="552" t="n"/>
      <c r="D24" s="552" t="n"/>
      <c r="E24" s="552" t="n"/>
      <c r="F24" s="552" t="n"/>
    </row>
    <row r="27" ht="25.5" customHeight="1" s="350">
      <c r="A27" s="442" t="inlineStr">
        <is>
          <t>*) În conformitate  cu prevederile Regulamentului (UE) nr. 651/2014 al Comisiei din 17 iunie 2014 de declarare a anumitor categorii de ajutoare compatibile cu piața internă în aplicarea articolelor 107 și 108 din tratat</t>
        </is>
      </c>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 right="0.7086614173228347" top="0.7480314960629921" bottom="0.7480314960629921" header="0.3149606299212598" footer="0.3149606299212598"/>
  <pageSetup orientation="portrait" paperSize="9" blackAndWhite="1" horizontalDpi="300" verticalDpi="300"/>
</worksheet>
</file>

<file path=xl/worksheets/sheet6.xml><?xml version="1.0" encoding="utf-8"?>
<worksheet xmlns="http://schemas.openxmlformats.org/spreadsheetml/2006/main">
  <sheetPr>
    <tabColor rgb="FFFFC000"/>
    <outlinePr summaryBelow="1" summaryRight="1"/>
    <pageSetUpPr/>
  </sheetPr>
  <dimension ref="A1:N57"/>
  <sheetViews>
    <sheetView workbookViewId="0">
      <selection activeCell="I24" sqref="I24"/>
    </sheetView>
  </sheetViews>
  <sheetFormatPr baseColWidth="8" defaultColWidth="9.109375" defaultRowHeight="13.8"/>
  <cols>
    <col width="6.6640625" customWidth="1" style="317" min="1" max="1"/>
    <col width="65" customWidth="1" style="175" min="2" max="2"/>
    <col width="12.33203125" customWidth="1" style="318" min="3" max="3"/>
    <col width="12.33203125" customWidth="1" style="319" min="4" max="4"/>
    <col width="11.77734375" customWidth="1" style="320" min="5" max="5"/>
    <col width="12.33203125" customWidth="1" style="320" min="6" max="7"/>
    <col width="11.44140625" customWidth="1" style="370" min="8" max="13"/>
    <col width="11.5546875" customWidth="1" style="370" min="14" max="14"/>
    <col width="11.5546875" customWidth="1" style="405" min="15" max="15"/>
    <col width="9.109375" customWidth="1" style="405" min="16" max="16384"/>
  </cols>
  <sheetData>
    <row r="1" customFormat="1" s="405">
      <c r="A1" s="459" t="inlineStr">
        <is>
          <t>2B - Planul investitional</t>
        </is>
      </c>
      <c r="H1" s="370" t="n"/>
      <c r="I1" s="370" t="n"/>
      <c r="J1" s="370" t="n"/>
      <c r="K1" s="370" t="n"/>
      <c r="L1" s="370" t="n"/>
      <c r="M1" s="370" t="n"/>
      <c r="N1" s="370" t="n"/>
    </row>
    <row r="2" ht="40.5" customFormat="1" customHeight="1" s="405">
      <c r="A2" s="433" t="inlineStr">
        <is>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is>
      </c>
      <c r="H2" s="370" t="n"/>
      <c r="I2" s="370" t="n"/>
      <c r="J2" s="370" t="n"/>
      <c r="K2" s="370" t="n"/>
      <c r="L2" s="370" t="n"/>
      <c r="M2" s="370" t="n"/>
      <c r="N2" s="370" t="n"/>
    </row>
    <row r="3" customFormat="1" s="405">
      <c r="A3" s="317" t="n"/>
      <c r="B3" s="437" t="n"/>
      <c r="D3" s="319" t="n"/>
      <c r="E3" s="320" t="n"/>
      <c r="F3" s="320" t="n"/>
      <c r="G3" s="320" t="n"/>
      <c r="H3" s="370" t="n"/>
      <c r="I3" s="370" t="n"/>
      <c r="J3" s="370" t="n"/>
      <c r="K3" s="370" t="n"/>
      <c r="L3" s="370" t="n"/>
      <c r="M3" s="370" t="n"/>
      <c r="N3" s="370" t="n"/>
    </row>
    <row r="4" ht="13.8" customFormat="1" customHeight="1" s="405">
      <c r="A4" s="557" t="inlineStr">
        <is>
          <t>Capitol</t>
        </is>
      </c>
      <c r="B4" s="464" t="inlineStr">
        <is>
          <t>Denumire</t>
        </is>
      </c>
      <c r="C4" s="464" t="inlineStr">
        <is>
          <t>Buget cerere</t>
        </is>
      </c>
      <c r="D4" s="464" t="inlineStr">
        <is>
          <t>Total ani</t>
        </is>
      </c>
      <c r="E4" s="399" t="inlineStr">
        <is>
          <t>Implementare</t>
        </is>
      </c>
      <c r="F4" s="370" t="n"/>
      <c r="G4" s="370" t="n"/>
      <c r="H4" s="370" t="n"/>
      <c r="I4" s="370" t="n"/>
      <c r="J4" s="370" t="n"/>
      <c r="K4" s="370" t="n"/>
    </row>
    <row r="5" ht="15" customFormat="1" customHeight="1" s="313">
      <c r="A5" s="558" t="n"/>
      <c r="B5" s="558" t="n"/>
      <c r="C5" s="558" t="n"/>
      <c r="D5" s="558" t="n"/>
      <c r="E5" s="300" t="inlineStr">
        <is>
          <t>an 1</t>
        </is>
      </c>
      <c r="F5" s="281" t="n"/>
      <c r="G5" s="281" t="n"/>
      <c r="H5" s="281" t="n"/>
      <c r="I5" s="281" t="n"/>
      <c r="J5" s="281" t="n"/>
      <c r="K5" s="281" t="n"/>
    </row>
    <row r="6" ht="14.4" customFormat="1" customHeight="1" s="330">
      <c r="A6" s="285">
        <f>'2A-Buget_cerere'!A5</f>
        <v/>
      </c>
      <c r="B6" s="286">
        <f>'2A-Buget_cerere'!B5</f>
        <v/>
      </c>
      <c r="C6" s="303">
        <f>'2A-Buget_cerere'!I5</f>
        <v/>
      </c>
      <c r="D6" s="64">
        <f>IF(E6&lt;&gt;C6,"Eroare!","")</f>
        <v/>
      </c>
      <c r="E6" s="49" t="n">
        <v>0</v>
      </c>
      <c r="F6" s="328" t="n"/>
      <c r="G6" s="328" t="n"/>
      <c r="H6" s="328" t="n"/>
      <c r="I6" s="328" t="n"/>
      <c r="J6" s="328" t="n"/>
      <c r="K6" s="328" t="n"/>
    </row>
    <row r="7" ht="27.6" customFormat="1" customHeight="1" s="330">
      <c r="A7" s="285">
        <f>'2A-Buget_cerere'!A6</f>
        <v/>
      </c>
      <c r="B7" s="286">
        <f>'2A-Buget_cerere'!B6</f>
        <v/>
      </c>
      <c r="C7" s="303">
        <f>'2A-Buget_cerere'!I6</f>
        <v/>
      </c>
      <c r="D7" s="64">
        <f>IF(E7&lt;&gt;C7,"Eroare!","")</f>
        <v/>
      </c>
      <c r="E7" s="49" t="n">
        <v>151790.3</v>
      </c>
      <c r="F7" s="328" t="n"/>
      <c r="G7" s="328" t="n"/>
      <c r="H7" s="328" t="n"/>
      <c r="I7" s="328" t="n"/>
      <c r="J7" s="328" t="n"/>
      <c r="K7" s="328" t="n"/>
    </row>
    <row r="8" ht="14.4" customFormat="1" customHeight="1" s="336">
      <c r="A8" s="285">
        <f>'2A-Buget_cerere'!A7</f>
        <v/>
      </c>
      <c r="B8" s="286">
        <f>'2A-Buget_cerere'!B7</f>
        <v/>
      </c>
      <c r="C8" s="303">
        <f>'2A-Buget_cerere'!I7</f>
        <v/>
      </c>
      <c r="D8" s="64">
        <f>IF(E8&lt;&gt;C8,"Eroare!","")</f>
        <v/>
      </c>
      <c r="E8" s="49" t="n">
        <v>268884.31</v>
      </c>
      <c r="F8" s="334" t="n"/>
      <c r="G8" s="328" t="n"/>
      <c r="H8" s="334" t="n"/>
      <c r="I8" s="334" t="n"/>
      <c r="J8" s="334" t="n"/>
      <c r="K8" s="334" t="n"/>
    </row>
    <row r="9" ht="14.4" customFormat="1" customHeight="1" s="330">
      <c r="A9" s="285">
        <f>'2A-Buget_cerere'!A8</f>
        <v/>
      </c>
      <c r="B9" s="286">
        <f>'2A-Buget_cerere'!B8</f>
        <v/>
      </c>
      <c r="C9" s="303">
        <f>'2A-Buget_cerere'!I8</f>
        <v/>
      </c>
      <c r="D9" s="64">
        <f>IF(E9&lt;&gt;C9,"Eroare!","")</f>
        <v/>
      </c>
      <c r="E9" s="49" t="n">
        <v>0</v>
      </c>
      <c r="F9" s="328" t="n"/>
      <c r="G9" s="328" t="n"/>
      <c r="H9" s="328" t="n"/>
      <c r="I9" s="328" t="n"/>
      <c r="J9" s="328" t="n"/>
      <c r="K9" s="328" t="n"/>
    </row>
    <row r="10" ht="27.6" customFormat="1" customHeight="1" s="330">
      <c r="A10" s="285">
        <f>'2A-Buget_cerere'!A9</f>
        <v/>
      </c>
      <c r="B10" s="286">
        <f>'2A-Buget_cerere'!B9</f>
        <v/>
      </c>
      <c r="C10" s="303">
        <f>'2A-Buget_cerere'!I9</f>
        <v/>
      </c>
      <c r="D10" s="64">
        <f>IF(E10&lt;&gt;C10,"Eroare!","")</f>
        <v/>
      </c>
      <c r="E10" s="49" t="n">
        <v>0</v>
      </c>
      <c r="F10" s="328" t="n"/>
      <c r="G10" s="328" t="n"/>
      <c r="H10" s="328" t="n"/>
      <c r="I10" s="328" t="n"/>
      <c r="J10" s="328" t="n"/>
      <c r="K10" s="328" t="n"/>
    </row>
    <row r="11" ht="27.6" customFormat="1" customHeight="1" s="330">
      <c r="A11" s="285">
        <f>'2A-Buget_cerere'!A10</f>
        <v/>
      </c>
      <c r="B11" s="286">
        <f>'2A-Buget_cerere'!B10</f>
        <v/>
      </c>
      <c r="C11" s="303">
        <f>'2A-Buget_cerere'!I10</f>
        <v/>
      </c>
      <c r="D11" s="64">
        <f>IF(E11&lt;&gt;C11,"Eroare!","")</f>
        <v/>
      </c>
      <c r="E11" s="49" t="n">
        <v>14300</v>
      </c>
      <c r="F11" s="328" t="n"/>
      <c r="G11" s="328" t="n"/>
      <c r="H11" s="328" t="n"/>
      <c r="I11" s="328" t="n"/>
      <c r="J11" s="328" t="n"/>
      <c r="K11" s="328" t="n"/>
    </row>
    <row r="12" ht="27.6" customFormat="1" customHeight="1" s="330">
      <c r="A12" s="285">
        <f>'2A-Buget_cerere'!A11</f>
        <v/>
      </c>
      <c r="B12" s="286">
        <f>'2A-Buget_cerere'!B11</f>
        <v/>
      </c>
      <c r="C12" s="303">
        <f>'2A-Buget_cerere'!I11</f>
        <v/>
      </c>
      <c r="D12" s="64">
        <f>IF(E12&lt;&gt;C12,"Eroare!","")</f>
        <v/>
      </c>
      <c r="E12" s="49" t="n">
        <v>0</v>
      </c>
      <c r="F12" s="328" t="n"/>
      <c r="G12" s="328" t="n"/>
      <c r="H12" s="328" t="n"/>
      <c r="I12" s="328" t="n"/>
      <c r="J12" s="328" t="n"/>
      <c r="K12" s="328" t="n"/>
    </row>
    <row r="13" ht="14.4" customFormat="1" customHeight="1" s="330">
      <c r="A13" s="285">
        <f>'2A-Buget_cerere'!A12</f>
        <v/>
      </c>
      <c r="B13" s="286">
        <f>'2A-Buget_cerere'!B12</f>
        <v/>
      </c>
      <c r="C13" s="303">
        <f>'2A-Buget_cerere'!I12</f>
        <v/>
      </c>
      <c r="D13" s="64">
        <f>IF(E13&lt;&gt;C13,"Eroare!","")</f>
        <v/>
      </c>
      <c r="E13" s="49" t="n">
        <v>0</v>
      </c>
      <c r="F13" s="328" t="n"/>
      <c r="G13" s="328" t="n"/>
      <c r="H13" s="328" t="n"/>
      <c r="I13" s="328" t="n"/>
      <c r="J13" s="328" t="n"/>
      <c r="K13" s="328" t="n"/>
    </row>
    <row r="14" ht="27.6" customFormat="1" customHeight="1" s="330">
      <c r="A14" s="285">
        <f>'2A-Buget_cerere'!A13</f>
        <v/>
      </c>
      <c r="B14" s="286">
        <f>'2A-Buget_cerere'!B13</f>
        <v/>
      </c>
      <c r="C14" s="303">
        <f>'2A-Buget_cerere'!I13</f>
        <v/>
      </c>
      <c r="D14" s="64">
        <f>IF(E14&lt;&gt;C14,"Eroare!","")</f>
        <v/>
      </c>
      <c r="E14" s="49" t="n">
        <v>0</v>
      </c>
      <c r="F14" s="328" t="n"/>
      <c r="G14" s="328" t="n"/>
      <c r="H14" s="328" t="n"/>
      <c r="I14" s="328" t="n"/>
      <c r="J14" s="328" t="n"/>
      <c r="K14" s="328" t="n"/>
    </row>
    <row r="15" ht="27.6" customFormat="1" customHeight="1" s="330">
      <c r="A15" s="285">
        <f>'2A-Buget_cerere'!A14</f>
        <v/>
      </c>
      <c r="B15" s="286">
        <f>'2A-Buget_cerere'!B14</f>
        <v/>
      </c>
      <c r="C15" s="303">
        <f>'2A-Buget_cerere'!I14</f>
        <v/>
      </c>
      <c r="D15" s="64">
        <f>IF(E15&lt;&gt;C15,"Eroare!","")</f>
        <v/>
      </c>
      <c r="E15" s="49" t="n"/>
      <c r="F15" s="328" t="n"/>
      <c r="G15" s="328" t="n"/>
      <c r="H15" s="328" t="n"/>
      <c r="I15" s="328" t="n"/>
      <c r="J15" s="328" t="n"/>
      <c r="K15" s="328" t="n"/>
    </row>
    <row r="16" ht="27.6" customFormat="1" customHeight="1" s="330">
      <c r="A16" s="190" t="inlineStr">
        <is>
          <t>4.2.1</t>
        </is>
      </c>
      <c r="B16" s="138" t="inlineStr">
        <is>
          <t>Echipamente tehnologice, utilaje, instalații de lucru, mobilier, echipamente informatice, birotică</t>
        </is>
      </c>
      <c r="C16" s="303">
        <f>'2A-Buget_cerere'!I15</f>
        <v/>
      </c>
      <c r="D16" s="64">
        <f>IF(E16&lt;&gt;C16,"Eroare!","")</f>
        <v/>
      </c>
      <c r="E16" s="49" t="n"/>
      <c r="F16" s="328" t="n"/>
      <c r="G16" s="328" t="n"/>
      <c r="H16" s="328" t="n"/>
      <c r="I16" s="328" t="n"/>
      <c r="J16" s="328" t="n"/>
      <c r="K16" s="328" t="n"/>
    </row>
    <row r="17" ht="27.6" customFormat="1" customHeight="1" s="330">
      <c r="A17" s="190" t="inlineStr">
        <is>
          <t>4.2.2</t>
        </is>
      </c>
      <c r="B17" s="138" t="inlineStr">
        <is>
          <t xml:space="preserve">Echipamente specifice în scopul obţinerii unei economii de energie, sisteme care utilizează surse regenerabile/ alternative de energie </t>
        </is>
      </c>
      <c r="C17" s="303">
        <f>'2A-Buget_cerere'!I16</f>
        <v/>
      </c>
      <c r="D17" s="64">
        <f>IF(E17&lt;&gt;C17,"Eroare!","")</f>
        <v/>
      </c>
      <c r="E17" s="49" t="n">
        <v>0</v>
      </c>
      <c r="F17" s="328" t="n"/>
      <c r="G17" s="328" t="n"/>
      <c r="H17" s="328" t="n"/>
      <c r="I17" s="328" t="n"/>
      <c r="J17" s="328" t="n"/>
      <c r="K17" s="328" t="n"/>
    </row>
    <row r="18" ht="41.4" customFormat="1" customHeight="1" s="330">
      <c r="A18" s="285">
        <f>'2A-Buget_cerere'!A17</f>
        <v/>
      </c>
      <c r="B18" s="286">
        <f>'2A-Buget_cerere'!B17</f>
        <v/>
      </c>
      <c r="C18" s="303">
        <f>'2A-Buget_cerere'!I17</f>
        <v/>
      </c>
      <c r="D18" s="64">
        <f>IF(E18&lt;&gt;C18,"Eroare!","")</f>
        <v/>
      </c>
      <c r="E18" s="49" t="n">
        <v>0</v>
      </c>
      <c r="F18" s="328" t="n"/>
      <c r="G18" s="328" t="n"/>
      <c r="H18" s="328" t="n"/>
      <c r="I18" s="328" t="n"/>
      <c r="J18" s="328" t="n"/>
      <c r="K18" s="328" t="n"/>
    </row>
    <row r="19" ht="14.4" customFormat="1" customHeight="1" s="293">
      <c r="A19" s="291" t="n"/>
      <c r="B19" s="292">
        <f>'2A-Buget_cerere'!B18</f>
        <v/>
      </c>
      <c r="C19" s="303">
        <f>'2A-Buget_cerere'!I18</f>
        <v/>
      </c>
      <c r="D19" s="64">
        <f>IF(E19&lt;&gt;C19,"Eroare!","")</f>
        <v/>
      </c>
      <c r="E19" s="290">
        <f>SUM(E6:E18)</f>
        <v/>
      </c>
      <c r="F19" s="334" t="n"/>
      <c r="G19" s="328" t="n"/>
      <c r="H19" s="334" t="n"/>
      <c r="I19" s="334" t="n"/>
      <c r="J19" s="334" t="n"/>
      <c r="K19" s="334" t="n"/>
    </row>
    <row r="20" customFormat="1" s="298">
      <c r="A20" s="460" t="n"/>
      <c r="B20" s="295" t="n"/>
      <c r="C20" s="318" t="n"/>
      <c r="D20" s="319" t="n"/>
      <c r="E20" s="320" t="n"/>
      <c r="F20" s="320" t="n"/>
      <c r="G20" s="320" t="n"/>
      <c r="H20" s="328" t="n"/>
      <c r="I20" s="328" t="n"/>
      <c r="J20" s="328" t="n"/>
      <c r="K20" s="328" t="n"/>
      <c r="L20" s="328" t="n"/>
      <c r="M20" s="328" t="n"/>
      <c r="N20" s="328" t="n"/>
    </row>
    <row r="21" customFormat="1" s="298">
      <c r="A21" s="460" t="n"/>
      <c r="B21" s="299" t="n"/>
      <c r="C21" s="318" t="n"/>
      <c r="D21" s="319" t="n"/>
      <c r="E21" s="320" t="n"/>
      <c r="F21" s="320" t="n"/>
      <c r="G21" s="320" t="n"/>
      <c r="H21" s="328" t="n"/>
      <c r="I21" s="328" t="n"/>
      <c r="J21" s="328" t="n"/>
      <c r="K21" s="328" t="n"/>
      <c r="L21" s="328" t="n"/>
      <c r="M21" s="328" t="n"/>
      <c r="N21" s="328" t="n"/>
    </row>
    <row r="22" customFormat="1" s="348">
      <c r="A22" s="467" t="inlineStr">
        <is>
          <t>SURSE DE FINANTARE</t>
        </is>
      </c>
      <c r="B22" s="556" t="n"/>
      <c r="C22" s="463" t="inlineStr">
        <is>
          <t>Buget cerere</t>
        </is>
      </c>
      <c r="D22" s="464" t="inlineStr">
        <is>
          <t>Total ani</t>
        </is>
      </c>
      <c r="E22" s="400" t="inlineStr">
        <is>
          <t>Implementare</t>
        </is>
      </c>
      <c r="F22" s="370" t="n"/>
      <c r="G22" s="328" t="n"/>
      <c r="H22" s="370" t="n"/>
      <c r="I22" s="370" t="n"/>
      <c r="J22" s="370" t="n"/>
      <c r="K22" s="370" t="n"/>
    </row>
    <row r="23" customFormat="1" s="302">
      <c r="A23" s="559" t="n"/>
      <c r="B23" s="560" t="n"/>
      <c r="C23" s="558" t="n"/>
      <c r="D23" s="558" t="n"/>
      <c r="E23" s="300" t="inlineStr">
        <is>
          <t>an 1</t>
        </is>
      </c>
      <c r="F23" s="281" t="n"/>
      <c r="G23" s="328" t="n"/>
      <c r="H23" s="281" t="n"/>
      <c r="I23" s="281" t="n"/>
      <c r="J23" s="281" t="n"/>
      <c r="K23" s="281" t="n"/>
    </row>
    <row r="24" customFormat="1" s="306">
      <c r="A24" s="455" t="inlineStr">
        <is>
          <t>Valoarea totală a cererii de finantare, din care:</t>
        </is>
      </c>
      <c r="B24" s="553" t="n"/>
      <c r="C24" s="303">
        <f>'2A-Buget_cerere'!C23</f>
        <v/>
      </c>
      <c r="D24" s="64">
        <f>IF(E24&lt;&gt;C24,"Eroare!","")</f>
        <v/>
      </c>
      <c r="E24" s="58">
        <f>E19</f>
        <v/>
      </c>
      <c r="F24" s="305" t="n"/>
      <c r="G24" s="328" t="n"/>
      <c r="H24" s="305" t="n"/>
      <c r="I24" s="305" t="n"/>
      <c r="J24" s="305" t="n"/>
      <c r="K24" s="305" t="n"/>
    </row>
    <row r="25" customFormat="1" s="306">
      <c r="A25" s="561" t="inlineStr">
        <is>
          <t>Valoare TVA neeligibil</t>
        </is>
      </c>
      <c r="B25" s="553" t="n"/>
      <c r="C25" s="381">
        <f>'2A-Buget_cerere'!G18</f>
        <v/>
      </c>
      <c r="D25" s="64">
        <f>IF(E25&lt;&gt;C25,"Eroare!","")</f>
        <v/>
      </c>
      <c r="E25" s="391" t="n">
        <v>67166.53999999999</v>
      </c>
      <c r="F25" s="305" t="n"/>
      <c r="G25" s="328" t="n"/>
      <c r="H25" s="305" t="n"/>
      <c r="I25" s="305" t="n"/>
      <c r="J25" s="305" t="n"/>
      <c r="K25" s="305" t="n"/>
    </row>
    <row r="26" customFormat="1" s="306">
      <c r="A26" s="455" t="inlineStr">
        <is>
          <t>Contribuţia proprie totală (la cheltuieli eligibile și neeligibile), asigurată din:</t>
        </is>
      </c>
      <c r="B26" s="553" t="n"/>
      <c r="C26" s="303">
        <f>'2A-Buget_cerere'!C26</f>
        <v/>
      </c>
      <c r="D26" s="64">
        <f>IF(E26&lt;&gt;C26,"Eroare!","")</f>
        <v/>
      </c>
      <c r="E26" s="58" t="n">
        <v>232680.17</v>
      </c>
      <c r="F26" s="305" t="n"/>
      <c r="G26" s="328" t="n"/>
      <c r="H26" s="305" t="n"/>
      <c r="I26" s="305" t="n"/>
      <c r="J26" s="305" t="n"/>
      <c r="K26" s="305" t="n"/>
    </row>
    <row r="27" customFormat="1" s="302">
      <c r="A27" s="456" t="inlineStr">
        <is>
          <t xml:space="preserve">   - Surse proprii</t>
        </is>
      </c>
      <c r="B27" s="553" t="n"/>
      <c r="C27" s="303" t="n"/>
      <c r="D27" s="64" t="n"/>
      <c r="E27" s="49" t="n">
        <v>232680.17</v>
      </c>
      <c r="F27" s="281" t="n"/>
      <c r="G27" s="328" t="n"/>
      <c r="H27" s="281" t="n"/>
      <c r="I27" s="281" t="n"/>
      <c r="J27" s="281" t="n"/>
      <c r="K27" s="281" t="n"/>
    </row>
    <row r="28" customFormat="1" s="302">
      <c r="A28" s="456" t="inlineStr">
        <is>
          <t xml:space="preserve">   - Imprumuturi bancare / surse imprumutate</t>
        </is>
      </c>
      <c r="B28" s="553" t="n"/>
      <c r="C28" s="303" t="n"/>
      <c r="D28" s="64" t="n"/>
      <c r="E28" s="49" t="n">
        <v>0</v>
      </c>
      <c r="F28" s="281" t="n"/>
      <c r="G28" s="328" t="n"/>
      <c r="H28" s="281" t="n"/>
      <c r="I28" s="281" t="n"/>
      <c r="J28" s="281" t="n"/>
      <c r="K28" s="281" t="n"/>
    </row>
    <row r="29" customFormat="1" s="306">
      <c r="A29" s="455">
        <f>'2A-Buget_cerere'!B29</f>
        <v/>
      </c>
      <c r="B29" s="553" t="n"/>
      <c r="C29" s="303">
        <f>'2A-Buget_cerere'!C29</f>
        <v/>
      </c>
      <c r="D29" s="64">
        <f>IF(E29&lt;&gt;C29,"Eroare!","")</f>
        <v/>
      </c>
      <c r="E29" s="49" t="n">
        <v>202294.44</v>
      </c>
      <c r="F29" s="305" t="n"/>
      <c r="G29" s="328" t="n"/>
      <c r="H29" s="305" t="n"/>
      <c r="I29" s="305" t="n"/>
      <c r="J29" s="305" t="n"/>
      <c r="K29" s="305" t="n"/>
    </row>
    <row r="30" ht="14.4" customFormat="1" customHeight="1" s="314">
      <c r="A30" s="307" t="n"/>
      <c r="B30" s="308" t="n"/>
      <c r="C30" s="318" t="n"/>
      <c r="D30" s="319" t="n"/>
      <c r="E30" s="320" t="n"/>
      <c r="F30" s="320" t="n"/>
      <c r="G30" s="320" t="n"/>
      <c r="H30" s="305" t="n"/>
      <c r="I30" s="328" t="n"/>
      <c r="J30" s="305" t="n"/>
      <c r="K30" s="305" t="n"/>
      <c r="L30" s="305" t="n"/>
      <c r="M30" s="305" t="n"/>
      <c r="N30" s="305" t="n"/>
    </row>
    <row r="31" ht="14.4" customFormat="1" customHeight="1" s="314">
      <c r="A31" s="307" t="n"/>
      <c r="B31" s="310" t="n"/>
      <c r="C31" s="318" t="n"/>
      <c r="D31" s="319" t="n"/>
      <c r="E31" s="320" t="n"/>
      <c r="F31" s="320" t="n"/>
      <c r="G31" s="320" t="n"/>
      <c r="H31" s="305" t="n"/>
      <c r="I31" s="305" t="n"/>
      <c r="J31" s="305" t="n"/>
      <c r="K31" s="305" t="n"/>
      <c r="L31" s="305" t="n"/>
      <c r="M31" s="305" t="n"/>
      <c r="N31" s="305" t="n"/>
    </row>
    <row r="32" ht="14.4" customFormat="1" customHeight="1" s="313">
      <c r="A32" s="468" t="inlineStr">
        <is>
          <t>INFORMATII AFERENTE FINANTARII PROIECTULUI DE INVESTITIE</t>
        </is>
      </c>
      <c r="D32" s="319" t="n"/>
      <c r="E32" s="320" t="n"/>
      <c r="F32" s="320" t="n"/>
      <c r="G32" s="320" t="n"/>
      <c r="H32" s="281" t="n"/>
      <c r="I32" s="281" t="n"/>
      <c r="J32" s="281" t="n"/>
      <c r="K32" s="281" t="n"/>
      <c r="L32" s="281" t="n"/>
      <c r="M32" s="281" t="n"/>
      <c r="N32" s="281" t="n"/>
    </row>
    <row r="33" ht="15" customFormat="1" customHeight="1" s="313">
      <c r="A33" s="562" t="inlineStr">
        <is>
          <t>RAMBURSARE CREDIT
se va completa cu informatii obtinute de la banca finantatoare</t>
        </is>
      </c>
      <c r="B33" s="553" t="n"/>
      <c r="C33" s="312" t="inlineStr">
        <is>
          <t>Total</t>
        </is>
      </c>
      <c r="D33" s="300" t="inlineStr">
        <is>
          <t>an 1</t>
        </is>
      </c>
      <c r="E33" s="300" t="inlineStr">
        <is>
          <t>an 2</t>
        </is>
      </c>
      <c r="F33" s="300" t="inlineStr">
        <is>
          <t>an 3</t>
        </is>
      </c>
      <c r="G33" s="300" t="inlineStr">
        <is>
          <t>an 4</t>
        </is>
      </c>
      <c r="N33" s="281" t="n"/>
    </row>
    <row r="34" ht="15" customFormat="1" customHeight="1" s="313">
      <c r="A34" s="476" t="inlineStr">
        <is>
          <t>Imprumuturi bancare</t>
        </is>
      </c>
      <c r="B34" s="553" t="n"/>
      <c r="C34" s="64">
        <f>SUM(D34:G34)</f>
        <v/>
      </c>
      <c r="D34" s="58">
        <f>E28</f>
        <v/>
      </c>
      <c r="E34" s="58" t="n"/>
      <c r="F34" s="58" t="n"/>
      <c r="G34" s="58" t="n"/>
      <c r="N34" s="281" t="n"/>
    </row>
    <row r="35" ht="15" customFormat="1" customHeight="1" s="313">
      <c r="A35" s="476" t="inlineStr">
        <is>
          <t>Rambursare imprumut bancar</t>
        </is>
      </c>
      <c r="B35" s="553" t="n"/>
      <c r="C35" s="64">
        <f>SUM(D35:G35)</f>
        <v/>
      </c>
      <c r="D35" s="49" t="n">
        <v>0</v>
      </c>
      <c r="E35" s="49" t="n">
        <v>0</v>
      </c>
      <c r="F35" s="49" t="n">
        <v>0</v>
      </c>
      <c r="G35" s="49" t="n">
        <v>0</v>
      </c>
      <c r="N35" s="281" t="n"/>
    </row>
    <row r="36" ht="15" customFormat="1" customHeight="1" s="313">
      <c r="A36" s="476" t="inlineStr">
        <is>
          <t xml:space="preserve">Dobanzi </t>
        </is>
      </c>
      <c r="B36" s="553" t="n"/>
      <c r="C36" s="64">
        <f>SUM(D36:G36)</f>
        <v/>
      </c>
      <c r="D36" s="49" t="n">
        <v>0</v>
      </c>
      <c r="E36" s="49" t="n">
        <v>0</v>
      </c>
      <c r="F36" s="49" t="n">
        <v>0</v>
      </c>
      <c r="G36" s="49" t="n">
        <v>0</v>
      </c>
      <c r="N36" s="281" t="n"/>
    </row>
    <row r="37" ht="15" customFormat="1" customHeight="1" s="314">
      <c r="A37" s="563" t="inlineStr">
        <is>
          <t>Rambursare imprumut (incl.dobanzi)</t>
        </is>
      </c>
      <c r="B37" s="553" t="n"/>
      <c r="C37" s="64">
        <f>SUM(D37:G37)</f>
        <v/>
      </c>
      <c r="D37" s="58">
        <f>D36+D35</f>
        <v/>
      </c>
      <c r="E37" s="58">
        <f>E36+E35</f>
        <v/>
      </c>
      <c r="F37" s="58">
        <f>F36+F35</f>
        <v/>
      </c>
      <c r="G37" s="58">
        <f>G36+G35</f>
        <v/>
      </c>
      <c r="N37" s="305" t="n"/>
    </row>
    <row r="38" ht="14.4" customFormat="1" customHeight="1" s="313">
      <c r="A38" s="460" t="n"/>
      <c r="B38" s="436" t="n"/>
      <c r="C38" s="318" t="n"/>
      <c r="D38" s="319" t="n"/>
      <c r="G38" s="354" t="n"/>
      <c r="H38" s="281" t="n"/>
      <c r="I38" s="281" t="n"/>
      <c r="J38" s="281" t="n"/>
      <c r="K38" s="281" t="n"/>
      <c r="L38" s="281" t="n"/>
      <c r="M38" s="281" t="n"/>
      <c r="N38" s="281" t="n"/>
    </row>
    <row r="39" ht="14.4" customFormat="1" customHeight="1" s="313">
      <c r="A39" s="460" t="n"/>
      <c r="B39" s="436" t="n"/>
      <c r="C39" s="318" t="n"/>
      <c r="D39" s="319" t="n"/>
      <c r="E39" s="320" t="n"/>
      <c r="F39" s="320" t="n"/>
      <c r="G39" s="320" t="n"/>
      <c r="H39" s="281" t="n"/>
      <c r="I39" s="281" t="n"/>
      <c r="J39" s="281" t="n"/>
      <c r="K39" s="281" t="n"/>
      <c r="L39" s="281" t="n"/>
      <c r="M39" s="281" t="n"/>
      <c r="N39" s="281" t="n"/>
    </row>
    <row r="40" ht="14.4" customFormat="1" customHeight="1" s="313">
      <c r="A40" s="475" t="inlineStr">
        <is>
          <t>INFORMATII AFERENTE INTREGII ENTITATI</t>
        </is>
      </c>
      <c r="C40" s="554" t="n"/>
      <c r="D40" s="300" t="inlineStr">
        <is>
          <t>an 1</t>
        </is>
      </c>
      <c r="E40" s="398" t="inlineStr">
        <is>
          <t>an 2</t>
        </is>
      </c>
      <c r="F40" s="300" t="inlineStr">
        <is>
          <t>an 3</t>
        </is>
      </c>
      <c r="G40" s="300" t="inlineStr">
        <is>
          <t>an 4</t>
        </is>
      </c>
      <c r="H40" s="281" t="n"/>
      <c r="I40" s="281" t="n"/>
      <c r="J40" s="281" t="n"/>
      <c r="K40" s="281" t="n"/>
      <c r="L40" s="281" t="n"/>
      <c r="M40" s="281" t="n"/>
      <c r="N40" s="281" t="n"/>
    </row>
    <row r="41" ht="14.4" customFormat="1" customHeight="1" s="313">
      <c r="A41" s="476" t="inlineStr">
        <is>
          <t>Capital propriu</t>
        </is>
      </c>
      <c r="B41" s="552" t="n"/>
      <c r="C41" s="553" t="n"/>
      <c r="D41" s="49" t="n">
        <v>0</v>
      </c>
      <c r="E41" s="49" t="n">
        <v>0</v>
      </c>
      <c r="F41" s="49" t="n">
        <v>0</v>
      </c>
      <c r="G41" s="49" t="n">
        <v>0</v>
      </c>
      <c r="H41" s="281" t="n"/>
      <c r="I41" s="281" t="n"/>
      <c r="J41" s="281" t="n"/>
      <c r="K41" s="281" t="n"/>
      <c r="L41" s="281" t="n"/>
      <c r="M41" s="281" t="n"/>
      <c r="N41" s="281" t="n"/>
    </row>
    <row r="42" ht="14.4" customFormat="1" customHeight="1" s="313">
      <c r="A42" s="476" t="inlineStr">
        <is>
          <t>Sume datorate institutiilor de credit (surse imprumutate) generate de proiectul de investitii</t>
        </is>
      </c>
      <c r="B42" s="552" t="n"/>
      <c r="C42" s="553" t="n"/>
      <c r="D42" s="58">
        <f>D34-D35</f>
        <v/>
      </c>
      <c r="E42" s="270">
        <f>D42+E34-E35</f>
        <v/>
      </c>
      <c r="F42" s="58">
        <f>E42+F34-F35</f>
        <v/>
      </c>
      <c r="G42" s="58">
        <f>F42+G34-G35</f>
        <v/>
      </c>
      <c r="H42" s="460" t="n"/>
      <c r="I42" s="281" t="n"/>
      <c r="J42" s="281" t="n"/>
      <c r="K42" s="281" t="n"/>
      <c r="L42" s="281" t="n"/>
      <c r="M42" s="281" t="n"/>
      <c r="N42" s="281" t="n"/>
    </row>
    <row r="43" ht="14.4" customFormat="1" customHeight="1" s="313">
      <c r="A43" s="476" t="inlineStr">
        <is>
          <t>Sume datorate institutiilor de credit excluzandu-le pe cele generate de proiectul de investitii</t>
        </is>
      </c>
      <c r="B43" s="552" t="n"/>
      <c r="C43" s="553" t="n"/>
      <c r="D43" s="49" t="n">
        <v>0</v>
      </c>
      <c r="E43" s="49" t="n">
        <v>0</v>
      </c>
      <c r="F43" s="49" t="n">
        <v>0</v>
      </c>
      <c r="G43" s="49" t="n">
        <v>0</v>
      </c>
      <c r="H43" s="281" t="n"/>
      <c r="I43" s="281" t="n"/>
      <c r="J43" s="281" t="n"/>
      <c r="K43" s="281" t="n"/>
      <c r="L43" s="281" t="n"/>
      <c r="M43" s="281" t="n"/>
      <c r="N43" s="281" t="n"/>
    </row>
    <row r="44" ht="14.4" customFormat="1" customHeight="1" s="313">
      <c r="A44" s="476" t="inlineStr">
        <is>
          <t>Alte datorii (pe termen lung si scurt)</t>
        </is>
      </c>
      <c r="B44" s="552" t="n"/>
      <c r="C44" s="553" t="n"/>
      <c r="D44" s="49" t="n">
        <v>0</v>
      </c>
      <c r="E44" s="49" t="n">
        <v>0</v>
      </c>
      <c r="F44" s="49" t="n">
        <v>0</v>
      </c>
      <c r="G44" s="49" t="n">
        <v>0</v>
      </c>
      <c r="H44" s="281" t="n"/>
      <c r="I44" s="281" t="n"/>
      <c r="J44" s="281" t="n"/>
      <c r="K44" s="281" t="n"/>
      <c r="L44" s="281" t="n"/>
      <c r="M44" s="281" t="n"/>
      <c r="N44" s="281" t="n"/>
    </row>
    <row r="45" ht="14.4" customFormat="1" customHeight="1" s="313">
      <c r="A45" s="476" t="inlineStr">
        <is>
          <t>Grad indatorare</t>
        </is>
      </c>
      <c r="B45" s="552" t="n"/>
      <c r="C45" s="553" t="n"/>
      <c r="D45" s="290">
        <f>IFERROR(SUM(D42:D44)/(SUM(D42:D44)+D41),"")</f>
        <v/>
      </c>
      <c r="E45" s="263">
        <f>IFERROR(SUM(E42:E44)/(SUM(E42:E44)+E41),"")</f>
        <v/>
      </c>
      <c r="F45" s="290">
        <f>IFERROR(SUM(F42:F44)/(SUM(F42:F44)+F41),"")</f>
        <v/>
      </c>
      <c r="G45" s="290">
        <f>IFERROR(SUM(G42:G44)/(SUM(G42:G44)+G41),"")</f>
        <v/>
      </c>
      <c r="H45" s="281" t="n"/>
      <c r="I45" s="281" t="n"/>
      <c r="J45" s="281" t="n"/>
      <c r="K45" s="281" t="n"/>
      <c r="L45" s="281" t="n"/>
      <c r="M45" s="281" t="n"/>
      <c r="N45" s="281" t="n"/>
    </row>
    <row r="46" ht="14.4" customFormat="1" customHeight="1" s="313">
      <c r="A46" s="460" t="n"/>
      <c r="B46" s="436" t="n"/>
      <c r="C46" s="318" t="n"/>
      <c r="D46" s="319" t="n"/>
      <c r="E46" s="320" t="n"/>
      <c r="F46" s="320" t="n"/>
      <c r="G46" s="320" t="n"/>
      <c r="H46" s="281" t="n"/>
      <c r="I46" s="281" t="n"/>
      <c r="J46" s="281" t="n"/>
      <c r="K46" s="281" t="n"/>
      <c r="L46" s="281" t="n"/>
      <c r="M46" s="281" t="n"/>
      <c r="N46" s="281" t="n"/>
    </row>
    <row r="47" ht="14.4" customFormat="1" customHeight="1" s="313">
      <c r="A47" s="460" t="n"/>
      <c r="B47" s="436" t="n"/>
      <c r="C47" s="318" t="n"/>
      <c r="D47" s="319" t="n"/>
      <c r="E47" s="320" t="n"/>
      <c r="F47" s="320" t="n"/>
      <c r="G47" s="320" t="n"/>
      <c r="H47" s="281" t="n"/>
      <c r="I47" s="281" t="n"/>
      <c r="J47" s="281" t="n"/>
      <c r="K47" s="281" t="n"/>
      <c r="L47" s="281" t="n"/>
      <c r="M47" s="281" t="n"/>
      <c r="N47" s="281" t="n"/>
    </row>
    <row r="48" ht="14.4" customFormat="1" customHeight="1" s="313">
      <c r="A48" s="460" t="n"/>
      <c r="B48" s="436" t="n"/>
      <c r="C48" s="318" t="n"/>
      <c r="D48" s="319" t="n"/>
      <c r="E48" s="320" t="n"/>
      <c r="F48" s="320" t="n"/>
      <c r="G48" s="320" t="n"/>
      <c r="H48" s="281" t="n"/>
      <c r="I48" s="281" t="n"/>
      <c r="J48" s="281" t="n"/>
      <c r="K48" s="281" t="n"/>
      <c r="L48" s="281" t="n"/>
      <c r="M48" s="281" t="n"/>
      <c r="N48" s="281" t="n"/>
    </row>
    <row r="49" ht="14.4" customFormat="1" customHeight="1" s="313">
      <c r="A49" s="460" t="n"/>
      <c r="B49" s="436" t="n"/>
      <c r="C49" s="318" t="n"/>
      <c r="D49" s="319" t="n"/>
      <c r="E49" s="320" t="n"/>
      <c r="F49" s="320" t="n"/>
      <c r="G49" s="320" t="n"/>
      <c r="H49" s="281" t="n"/>
      <c r="I49" s="281" t="n"/>
      <c r="J49" s="281" t="n"/>
      <c r="K49" s="281" t="n"/>
      <c r="L49" s="281" t="n"/>
      <c r="M49" s="281" t="n"/>
      <c r="N49" s="281" t="n"/>
    </row>
    <row r="50" ht="14.4" customFormat="1" customHeight="1" s="313">
      <c r="A50" s="460" t="n"/>
      <c r="B50" s="436" t="n"/>
      <c r="C50" s="318" t="n"/>
      <c r="D50" s="319" t="n"/>
      <c r="E50" s="320" t="n"/>
      <c r="F50" s="320" t="n"/>
      <c r="G50" s="320" t="n"/>
      <c r="H50" s="281" t="n"/>
      <c r="I50" s="281" t="n"/>
      <c r="J50" s="281" t="n"/>
      <c r="K50" s="281" t="n"/>
      <c r="L50" s="281" t="n"/>
      <c r="M50" s="281" t="n"/>
      <c r="N50" s="281" t="n"/>
    </row>
    <row r="51" ht="14.4" customFormat="1" customHeight="1" s="313">
      <c r="A51" s="460" t="n"/>
      <c r="B51" s="436" t="n"/>
      <c r="C51" s="318" t="n"/>
      <c r="D51" s="319" t="n"/>
      <c r="E51" s="320" t="n"/>
      <c r="F51" s="320" t="n"/>
      <c r="G51" s="320" t="n"/>
      <c r="H51" s="281" t="n"/>
      <c r="I51" s="281" t="n"/>
      <c r="J51" s="281" t="n"/>
      <c r="K51" s="281" t="n"/>
      <c r="L51" s="281" t="n"/>
      <c r="M51" s="281" t="n"/>
      <c r="N51" s="281" t="n"/>
    </row>
    <row r="52" ht="14.4" customFormat="1" customHeight="1" s="313">
      <c r="A52" s="460" t="n"/>
      <c r="B52" s="436" t="n"/>
      <c r="C52" s="318" t="n"/>
      <c r="D52" s="319" t="n"/>
      <c r="E52" s="320" t="n"/>
      <c r="F52" s="320" t="n"/>
      <c r="G52" s="320" t="n"/>
      <c r="H52" s="281" t="n"/>
      <c r="I52" s="281" t="n"/>
      <c r="J52" s="281" t="n"/>
      <c r="K52" s="281" t="n"/>
      <c r="L52" s="281" t="n"/>
      <c r="M52" s="281" t="n"/>
      <c r="N52" s="281" t="n"/>
    </row>
    <row r="53" ht="14.4" customFormat="1" customHeight="1" s="313">
      <c r="A53" s="460" t="n"/>
      <c r="B53" s="436" t="n"/>
      <c r="C53" s="318" t="n"/>
      <c r="D53" s="319" t="n"/>
      <c r="E53" s="320" t="n"/>
      <c r="F53" s="320" t="n"/>
      <c r="G53" s="320" t="n"/>
      <c r="H53" s="281" t="n"/>
      <c r="I53" s="281" t="n"/>
      <c r="J53" s="281" t="n"/>
      <c r="K53" s="281" t="n"/>
      <c r="L53" s="281" t="n"/>
      <c r="M53" s="281" t="n"/>
      <c r="N53" s="281" t="n"/>
    </row>
    <row r="54" ht="14.4" customFormat="1" customHeight="1" s="313">
      <c r="A54" s="460" t="n"/>
      <c r="B54" s="436" t="n"/>
      <c r="C54" s="318" t="n"/>
      <c r="D54" s="319" t="n"/>
      <c r="E54" s="320" t="n"/>
      <c r="F54" s="320" t="n"/>
      <c r="G54" s="320" t="n"/>
      <c r="H54" s="281" t="n"/>
      <c r="I54" s="281" t="n"/>
      <c r="J54" s="281" t="n"/>
      <c r="K54" s="281" t="n"/>
      <c r="L54" s="281" t="n"/>
      <c r="M54" s="281" t="n"/>
      <c r="N54" s="281" t="n"/>
    </row>
    <row r="55" ht="14.4" customFormat="1" customHeight="1" s="313">
      <c r="A55" s="460" t="n"/>
      <c r="B55" s="436" t="n"/>
      <c r="C55" s="318" t="n"/>
      <c r="D55" s="319" t="n"/>
      <c r="E55" s="320" t="n"/>
      <c r="F55" s="320" t="n"/>
      <c r="G55" s="320" t="n"/>
      <c r="H55" s="281" t="n"/>
      <c r="I55" s="281" t="n"/>
      <c r="J55" s="281" t="n"/>
      <c r="K55" s="281" t="n"/>
      <c r="L55" s="281" t="n"/>
      <c r="M55" s="281" t="n"/>
      <c r="N55" s="281" t="n"/>
    </row>
    <row r="56" ht="14.4" customFormat="1" customHeight="1" s="313">
      <c r="A56" s="460" t="n"/>
      <c r="B56" s="436" t="n"/>
      <c r="C56" s="318" t="n"/>
      <c r="D56" s="319" t="n"/>
      <c r="E56" s="320" t="n"/>
      <c r="F56" s="320" t="n"/>
      <c r="G56" s="320" t="n"/>
      <c r="H56" s="281" t="n"/>
      <c r="I56" s="281" t="n"/>
      <c r="J56" s="281" t="n"/>
      <c r="K56" s="281" t="n"/>
      <c r="L56" s="281" t="n"/>
      <c r="M56" s="281" t="n"/>
      <c r="N56" s="281" t="n"/>
    </row>
    <row r="57" ht="14.4" customFormat="1" customHeight="1" s="313">
      <c r="A57" s="460" t="n"/>
      <c r="B57" s="436" t="n"/>
      <c r="C57" s="318" t="n"/>
      <c r="D57" s="319" t="n"/>
      <c r="E57" s="320" t="n"/>
      <c r="F57" s="320" t="n"/>
      <c r="G57" s="320" t="n"/>
      <c r="H57" s="281" t="n"/>
      <c r="I57" s="281" t="n"/>
      <c r="J57" s="281" t="n"/>
      <c r="K57" s="281" t="n"/>
      <c r="L57" s="281" t="n"/>
      <c r="M57" s="281" t="n"/>
      <c r="N57" s="281" t="n"/>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priority="16" operator="containsText" dxfId="0" text="nu">
      <formula>NOT(ISERROR(SEARCH("nu",C31)))</formula>
    </cfRule>
    <cfRule type="containsText" priority="10" operator="containsText" dxfId="0" text="NU">
      <formula>NOT(ISERROR(SEARCH("NU",C31)))</formula>
    </cfRule>
    <cfRule type="containsText" priority="11" operator="containsText" dxfId="3" text="DA">
      <formula>NOT(ISERROR(SEARCH("DA",C31)))</formula>
    </cfRule>
  </conditionalFormatting>
  <conditionalFormatting sqref="D45:G45">
    <cfRule type="cellIs" priority="4" operator="greaterThanOrEqual" dxfId="0">
      <formula>0.67</formula>
    </cfRule>
    <cfRule type="cellIs" priority="6" operator="lessThan" dxfId="3">
      <formula>0.67</formula>
    </cfRule>
  </conditionalFormatting>
  <pageMargins left="0.7086614173228347" right="0.7086614173228347" top="0.5511811023622047" bottom="0.90625" header="0.3149606299212598" footer="0.3149606299212598"/>
  <pageSetup orientation="landscape" paperSize="9" fitToHeight="0" blackAndWhite="1" horizontalDpi="300" verticalDpi="300"/>
  <rowBreaks count="1" manualBreakCount="1">
    <brk id="31" min="0" max="16383" man="1"/>
  </rowBreaks>
</worksheet>
</file>

<file path=xl/worksheets/sheet7.xml><?xml version="1.0" encoding="utf-8"?>
<worksheet xmlns="http://schemas.openxmlformats.org/spreadsheetml/2006/main">
  <sheetPr>
    <tabColor rgb="FFFFC000"/>
    <outlinePr summaryBelow="1" summaryRight="1"/>
    <pageSetUpPr/>
  </sheetPr>
  <dimension ref="A1:I31"/>
  <sheetViews>
    <sheetView workbookViewId="0">
      <selection activeCell="K13" sqref="K13"/>
    </sheetView>
  </sheetViews>
  <sheetFormatPr baseColWidth="8" defaultColWidth="9.109375" defaultRowHeight="14.4"/>
  <cols>
    <col width="6.6640625" customWidth="1" style="189" min="1" max="1"/>
    <col width="56.109375" customWidth="1" style="184" min="2" max="2"/>
    <col width="12.6640625" customWidth="1" style="218" min="3" max="3"/>
    <col width="11.33203125" customWidth="1" style="218" min="4" max="4"/>
    <col width="12.5546875" customWidth="1" style="219" min="5" max="5"/>
    <col width="12.6640625" customWidth="1" style="218" min="6" max="7"/>
    <col width="12.6640625" customWidth="1" style="219" min="8" max="9"/>
    <col width="9.109375" customWidth="1" style="171" min="10" max="16384"/>
  </cols>
  <sheetData>
    <row r="1">
      <c r="A1" s="479" t="inlineStr">
        <is>
          <t xml:space="preserve"> 2A - BUGETUL CERERII DE FINANTARE</t>
        </is>
      </c>
    </row>
    <row r="2">
      <c r="A2" s="185" t="n"/>
      <c r="B2" s="181" t="n"/>
      <c r="C2" s="208" t="n"/>
      <c r="D2" s="208" t="n"/>
      <c r="E2" s="208" t="n"/>
      <c r="F2" s="208" t="n"/>
      <c r="G2" s="208" t="n"/>
      <c r="H2" s="208" t="n"/>
      <c r="I2" s="208" t="n"/>
    </row>
    <row r="3">
      <c r="A3" s="564" t="inlineStr">
        <is>
          <t>Nr. crt</t>
        </is>
      </c>
      <c r="B3" s="565" t="inlineStr">
        <is>
          <t>Denumirea capitolelor şi subcapitolelor</t>
        </is>
      </c>
      <c r="C3" s="480" t="inlineStr">
        <is>
          <t>Cheltuieli eligibile</t>
        </is>
      </c>
      <c r="D3" s="553" t="n"/>
      <c r="E3" s="480" t="inlineStr">
        <is>
          <t>Total eligibil</t>
        </is>
      </c>
      <c r="F3" s="480" t="inlineStr">
        <is>
          <t>Cheltuieli neeligibile</t>
        </is>
      </c>
      <c r="G3" s="553" t="n"/>
      <c r="H3" s="480" t="inlineStr">
        <is>
          <t>Total neeligibil</t>
        </is>
      </c>
      <c r="I3" s="480" t="inlineStr">
        <is>
          <t>TOTAL</t>
        </is>
      </c>
    </row>
    <row r="4" ht="69" customHeight="1" s="350">
      <c r="A4" s="558" t="n"/>
      <c r="B4" s="558" t="n"/>
      <c r="C4" s="480" t="inlineStr">
        <is>
          <t>Cheltuieli eligibile, fără TVA</t>
        </is>
      </c>
      <c r="D4" s="480" t="inlineStr">
        <is>
          <t>TVA nerecuperabilă, aferentă cheltuielilor eligibile</t>
        </is>
      </c>
      <c r="E4" s="558" t="n"/>
      <c r="F4" s="480" t="inlineStr">
        <is>
          <t>Cheltuieli neeligibile, fără TVA</t>
        </is>
      </c>
      <c r="G4" s="480" t="inlineStr">
        <is>
          <t xml:space="preserve"> TVA recuperabilă aferentă cheltuielilor eligibile</t>
        </is>
      </c>
      <c r="H4" s="558" t="n"/>
      <c r="I4" s="558" t="n"/>
    </row>
    <row r="5">
      <c r="A5" s="186" t="inlineStr">
        <is>
          <t>1.1</t>
        </is>
      </c>
      <c r="B5" s="179" t="inlineStr">
        <is>
          <t>Cheltuieli cu realizarea/achizitia constructiilor</t>
        </is>
      </c>
      <c r="C5" s="209" t="n">
        <v>0</v>
      </c>
      <c r="D5" s="209" t="n">
        <v>0</v>
      </c>
      <c r="E5" s="210">
        <f>C5+D5</f>
        <v/>
      </c>
      <c r="F5" s="209" t="n">
        <v>0</v>
      </c>
      <c r="G5" s="209" t="n">
        <v>0</v>
      </c>
      <c r="H5" s="210">
        <f>F5+G5</f>
        <v/>
      </c>
      <c r="I5" s="210">
        <f>E5+H5</f>
        <v/>
      </c>
    </row>
    <row r="6" ht="27.6" customHeight="1" s="350">
      <c r="A6" s="186" t="inlineStr">
        <is>
          <t>1.2</t>
        </is>
      </c>
      <c r="B6" s="179" t="inlineStr">
        <is>
          <t>Echipamente, inclusiv IT&amp;C, tehnologii software, utilaje, instalatii, tehnologii, dotari independente</t>
        </is>
      </c>
      <c r="C6" s="209">
        <f>40056.3+31728.57+55770</f>
        <v/>
      </c>
      <c r="D6" s="209" t="n">
        <v>0</v>
      </c>
      <c r="E6" s="210">
        <f>C6+D6</f>
        <v/>
      </c>
      <c r="F6" s="209" t="n">
        <v>0</v>
      </c>
      <c r="G6" s="209" t="n">
        <v>24235.43</v>
      </c>
      <c r="H6" s="210">
        <f>F6+G6</f>
        <v/>
      </c>
      <c r="I6" s="210">
        <f>E6+H6</f>
        <v/>
      </c>
    </row>
    <row r="7">
      <c r="A7" s="186" t="inlineStr">
        <is>
          <t>1.3</t>
        </is>
      </c>
      <c r="B7" s="180" t="inlineStr">
        <is>
          <t>Mobilier de birou si mobilier specific</t>
        </is>
      </c>
      <c r="C7" s="209" t="n">
        <v>225953.2</v>
      </c>
      <c r="D7" s="209" t="n">
        <v>0</v>
      </c>
      <c r="E7" s="210">
        <f>C7+D7</f>
        <v/>
      </c>
      <c r="F7" s="209" t="n">
        <v>0</v>
      </c>
      <c r="G7" s="209" t="n">
        <v>42931.11</v>
      </c>
      <c r="H7" s="210">
        <f>F7+G7</f>
        <v/>
      </c>
      <c r="I7" s="210">
        <f>E7+H7</f>
        <v/>
      </c>
    </row>
    <row r="8">
      <c r="A8" s="186" t="inlineStr">
        <is>
          <t>1.4</t>
        </is>
      </c>
      <c r="B8" s="180" t="inlineStr">
        <is>
          <t>Terenuri in limita a 10% din valoarea eligibila a proiectului</t>
        </is>
      </c>
      <c r="C8" s="209" t="n">
        <v>0</v>
      </c>
      <c r="D8" s="209" t="n">
        <v>0</v>
      </c>
      <c r="E8" s="210">
        <f>C8+D8</f>
        <v/>
      </c>
      <c r="F8" s="209" t="n">
        <v>0</v>
      </c>
      <c r="G8" s="209" t="n">
        <v>0</v>
      </c>
      <c r="H8" s="210">
        <f>F8+G8</f>
        <v/>
      </c>
      <c r="I8" s="210">
        <f>E8+H8</f>
        <v/>
      </c>
    </row>
    <row r="9" ht="41.4" customHeight="1" s="350">
      <c r="A9" s="186" t="inlineStr">
        <is>
          <t>1.5</t>
        </is>
      </c>
      <c r="B9" s="179" t="inlineStr">
        <is>
          <t>Cheltuieli de sistemizare si amenajare teritoriale a terenurilor, cheltuieli de mediu, cheltuieli cu racordarea la utilitati, cheltuieli privind accesibilitatea</t>
        </is>
      </c>
      <c r="C9" s="209" t="n">
        <v>0</v>
      </c>
      <c r="D9" s="209" t="n">
        <v>0</v>
      </c>
      <c r="E9" s="210">
        <f>C9+D9</f>
        <v/>
      </c>
      <c r="F9" s="209" t="n">
        <v>0</v>
      </c>
      <c r="G9" s="209" t="n">
        <v>0</v>
      </c>
      <c r="H9" s="210">
        <f>F9+G9</f>
        <v/>
      </c>
      <c r="I9" s="210">
        <f>E9+H9</f>
        <v/>
      </c>
    </row>
    <row r="10" ht="27.6" customHeight="1" s="350">
      <c r="A10" s="186" t="inlineStr">
        <is>
          <t>1.6</t>
        </is>
      </c>
      <c r="B10" s="179" t="inlineStr">
        <is>
          <t>Cheltuieli cu consultanta si proiectarea, managementul de proiect, asistenta tehnica, dirigentia de santier</t>
        </is>
      </c>
      <c r="C10" s="209" t="n">
        <v>14300</v>
      </c>
      <c r="D10" s="209" t="n">
        <v>0</v>
      </c>
      <c r="E10" s="210">
        <f>C10+D10</f>
        <v/>
      </c>
      <c r="F10" s="209" t="n">
        <v>0</v>
      </c>
      <c r="G10" s="209" t="n">
        <v>0</v>
      </c>
      <c r="H10" s="210">
        <f>F10+G10</f>
        <v/>
      </c>
      <c r="I10" s="210">
        <f>E10+H10</f>
        <v/>
      </c>
    </row>
    <row r="11" ht="27.6" customHeight="1" s="350">
      <c r="A11" s="186" t="inlineStr">
        <is>
          <t>1.7</t>
        </is>
      </c>
      <c r="B11" s="179" t="inlineStr">
        <is>
          <t>Cheltuieli de promovare, participare la targuri, evenimente, conferinte, cheltuieli privind studiile</t>
        </is>
      </c>
      <c r="C11" s="209" t="n">
        <v>0</v>
      </c>
      <c r="D11" s="209" t="n">
        <v>0</v>
      </c>
      <c r="E11" s="210">
        <f>C11+D11</f>
        <v/>
      </c>
      <c r="F11" s="209" t="n">
        <v>0</v>
      </c>
      <c r="G11" s="209" t="n">
        <v>0</v>
      </c>
      <c r="H11" s="210">
        <f>F11+G11</f>
        <v/>
      </c>
      <c r="I11" s="210">
        <f>E11+H11</f>
        <v/>
      </c>
    </row>
    <row r="12">
      <c r="A12" s="186" t="inlineStr">
        <is>
          <t>1.8</t>
        </is>
      </c>
      <c r="B12" s="179" t="inlineStr">
        <is>
          <t>Cheltuieli privind drepturile de proprietate intelectuala</t>
        </is>
      </c>
      <c r="C12" s="209" t="n">
        <v>0</v>
      </c>
      <c r="D12" s="209" t="n">
        <v>0</v>
      </c>
      <c r="E12" s="210">
        <f>C12+D12</f>
        <v/>
      </c>
      <c r="F12" s="209" t="n">
        <v>0</v>
      </c>
      <c r="G12" s="209" t="n">
        <v>0</v>
      </c>
      <c r="H12" s="210">
        <f>F12+G12</f>
        <v/>
      </c>
      <c r="I12" s="210">
        <f>E12+H12</f>
        <v/>
      </c>
    </row>
    <row r="13" ht="27.6" customHeight="1" s="350">
      <c r="A13" s="186" t="inlineStr">
        <is>
          <t>1.9</t>
        </is>
      </c>
      <c r="B13" s="179" t="inlineStr">
        <is>
          <t>Active necorporale referitoare la brevete de inventie, marci de produse, software necesar activitatii</t>
        </is>
      </c>
      <c r="C13" s="209" t="n">
        <v>0</v>
      </c>
      <c r="D13" s="209" t="n">
        <v>0</v>
      </c>
      <c r="E13" s="210">
        <f>C13+D13</f>
        <v/>
      </c>
      <c r="F13" s="209" t="n">
        <v>0</v>
      </c>
      <c r="G13" s="209" t="n">
        <v>0</v>
      </c>
      <c r="H13" s="210">
        <f>F13+G13</f>
        <v/>
      </c>
      <c r="I13" s="210">
        <f>E13+H13</f>
        <v/>
      </c>
    </row>
    <row r="14" ht="41.4" customHeight="1" s="350">
      <c r="A14" s="186" t="inlineStr">
        <is>
          <t>2.1</t>
        </is>
      </c>
      <c r="B14" s="179" t="inlineStr">
        <is>
          <t>Cheltuieli pentru realizare de depozite de echipamente medicale, medicamente, materiale sanitare, destinate interventiei pentru situatii de urgenta</t>
        </is>
      </c>
      <c r="C14" s="209" t="n">
        <v>0</v>
      </c>
      <c r="D14" s="209">
        <f>D15+D16</f>
        <v/>
      </c>
      <c r="E14" s="210">
        <f>C14+D14</f>
        <v/>
      </c>
      <c r="F14" s="209">
        <f>F15+F16</f>
        <v/>
      </c>
      <c r="G14" s="209" t="n">
        <v>0</v>
      </c>
      <c r="H14" s="210">
        <f>F14+G14</f>
        <v/>
      </c>
      <c r="I14" s="210">
        <f>E14+H14</f>
        <v/>
      </c>
    </row>
    <row r="15" ht="41.4" customHeight="1" s="350">
      <c r="A15" s="186" t="inlineStr">
        <is>
          <t>3.1</t>
        </is>
      </c>
      <c r="B15" s="179" t="inlineStr">
        <is>
          <t>Cheltuilei cu reabilitarea/modernizarea/extinderea si/sau realizarea unor depouri pentru mijloacelor de transport din dotare sau pentru cele care urmeaza a se achizitiona</t>
        </is>
      </c>
      <c r="C15" s="209" t="n"/>
      <c r="D15" s="209" t="n">
        <v>0</v>
      </c>
      <c r="E15" s="210">
        <f>C15+D15</f>
        <v/>
      </c>
      <c r="F15" s="209" t="n">
        <v>0</v>
      </c>
      <c r="G15" s="209" t="n"/>
      <c r="H15" s="210">
        <f>F15+G15</f>
        <v/>
      </c>
      <c r="I15" s="210">
        <f>E15+H15</f>
        <v/>
      </c>
    </row>
    <row r="16" ht="69" customHeight="1" s="350">
      <c r="A16" s="186" t="inlineStr">
        <is>
          <t>3.2</t>
        </is>
      </c>
      <c r="B16" s="179" t="inlineStr">
        <is>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is>
      </c>
      <c r="C16" s="209" t="n">
        <v>0</v>
      </c>
      <c r="D16" s="209" t="n">
        <v>0</v>
      </c>
      <c r="E16" s="210">
        <f>C16+D16</f>
        <v/>
      </c>
      <c r="F16" s="209" t="n">
        <v>0</v>
      </c>
      <c r="G16" s="209" t="n">
        <v>0</v>
      </c>
      <c r="H16" s="210">
        <f>F16+G16</f>
        <v/>
      </c>
      <c r="I16" s="210">
        <f>E16+H16</f>
        <v/>
      </c>
    </row>
    <row r="17" ht="55.2" customHeight="1" s="350">
      <c r="A17" s="186" t="inlineStr">
        <is>
          <t>3.3</t>
        </is>
      </c>
      <c r="B17" s="179" t="inlineStr">
        <is>
          <t>Cheltuieli privind dotarea mijloacelor de transport existente cu echipamente si tehnologii care conduc la imbunatatirea confortului/calitatii serviciilor de transport persoane si marfuri prestate</t>
        </is>
      </c>
      <c r="C17" s="209" t="n">
        <v>0</v>
      </c>
      <c r="D17" s="209" t="n">
        <v>0</v>
      </c>
      <c r="E17" s="210">
        <f>C17+D17</f>
        <v/>
      </c>
      <c r="F17" s="209" t="n">
        <v>0</v>
      </c>
      <c r="G17" s="209" t="n">
        <v>0</v>
      </c>
      <c r="H17" s="210">
        <f>F17+G17</f>
        <v/>
      </c>
      <c r="I17" s="210">
        <f>E17+H17</f>
        <v/>
      </c>
    </row>
    <row r="18" customFormat="1" s="185">
      <c r="A18" s="186" t="n"/>
      <c r="B18" s="191" t="inlineStr">
        <is>
          <t>TOTAL GENERAL</t>
        </is>
      </c>
      <c r="C18" s="211">
        <f>SUM(C5:C17)</f>
        <v/>
      </c>
      <c r="D18" s="211">
        <f>SUM(D5:D17)</f>
        <v/>
      </c>
      <c r="E18" s="211">
        <f>SUM(E5:E17)</f>
        <v/>
      </c>
      <c r="F18" s="211">
        <f>SUM(F5:F17)</f>
        <v/>
      </c>
      <c r="G18" s="211">
        <f>SUM(G5:G17)</f>
        <v/>
      </c>
      <c r="H18" s="211">
        <f>SUM(H5:H17)</f>
        <v/>
      </c>
      <c r="I18" s="211">
        <f>SUM(I5:I17)</f>
        <v/>
      </c>
    </row>
    <row r="19" ht="13.8" customFormat="1" customHeight="1" s="140">
      <c r="A19" s="187" t="n"/>
      <c r="B19" s="192" t="inlineStr">
        <is>
          <t>din care C+M</t>
        </is>
      </c>
      <c r="C19" s="212" t="n">
        <v>0</v>
      </c>
      <c r="D19" s="212" t="n">
        <v>0</v>
      </c>
      <c r="E19" s="213">
        <f>C19+D19</f>
        <v/>
      </c>
      <c r="F19" s="212" t="n">
        <v>0</v>
      </c>
      <c r="G19" s="212" t="n">
        <v>0</v>
      </c>
      <c r="H19" s="213">
        <f>F19+G19</f>
        <v/>
      </c>
      <c r="I19" s="214">
        <f>E19+H19</f>
        <v/>
      </c>
    </row>
    <row r="20" ht="13.8" customFormat="1" customHeight="1" s="141">
      <c r="A20" s="370" t="n"/>
      <c r="B20" s="182" t="n"/>
      <c r="C20" s="216" t="n"/>
      <c r="D20" s="216" t="n"/>
      <c r="E20" s="216" t="n"/>
      <c r="F20" s="216" t="n"/>
      <c r="G20" s="216" t="n"/>
      <c r="H20" s="216" t="n"/>
      <c r="I20" s="216" t="n"/>
    </row>
    <row r="21">
      <c r="A21" s="188" t="n"/>
      <c r="B21" s="183" t="n"/>
      <c r="C21" s="216" t="n"/>
      <c r="D21" s="216" t="n"/>
      <c r="E21" s="216" t="n"/>
      <c r="F21" s="216" t="n"/>
      <c r="G21" s="216" t="n"/>
      <c r="H21" s="216" t="n"/>
      <c r="I21" s="216" t="n"/>
    </row>
    <row r="22">
      <c r="A22" s="143" t="inlineStr">
        <is>
          <t>Nr crt</t>
        </is>
      </c>
      <c r="B22" s="142" t="inlineStr">
        <is>
          <t>SURSE DE FINANŢARE</t>
        </is>
      </c>
      <c r="C22" s="273" t="inlineStr">
        <is>
          <t>Valoare (lei)</t>
        </is>
      </c>
      <c r="D22" s="216" t="n"/>
      <c r="E22" s="216" t="n"/>
      <c r="F22" s="216" t="n"/>
      <c r="G22" s="216" t="n"/>
      <c r="H22" s="216" t="n"/>
      <c r="I22" s="216" t="n"/>
    </row>
    <row r="23">
      <c r="A23" s="138" t="inlineStr">
        <is>
          <t>I</t>
        </is>
      </c>
      <c r="B23" s="143" t="inlineStr">
        <is>
          <t>Valoarea totală a cererii de finantare, din care :</t>
        </is>
      </c>
      <c r="C23" s="378">
        <f>I18</f>
        <v/>
      </c>
      <c r="D23" s="216" t="n"/>
      <c r="E23" s="216" t="n"/>
      <c r="F23" s="216" t="n"/>
      <c r="G23" s="216" t="n"/>
      <c r="H23" s="216" t="n"/>
      <c r="I23" s="216" t="n"/>
    </row>
    <row r="24">
      <c r="A24" s="138" t="inlineStr">
        <is>
          <t>I.a.</t>
        </is>
      </c>
      <c r="B24" s="138" t="inlineStr">
        <is>
          <t>Valoarea totala neeligibilă, inclusiv TVA aferenta</t>
        </is>
      </c>
      <c r="C24" s="379">
        <f>H18</f>
        <v/>
      </c>
      <c r="D24" s="216" t="n"/>
      <c r="E24" s="216" t="n"/>
      <c r="F24" s="216" t="n"/>
      <c r="G24" s="216" t="n"/>
      <c r="H24" s="216" t="n"/>
      <c r="I24" s="216" t="n"/>
    </row>
    <row r="25">
      <c r="A25" s="138" t="inlineStr">
        <is>
          <t>I.b.</t>
        </is>
      </c>
      <c r="B25" s="138" t="inlineStr">
        <is>
          <t xml:space="preserve">Valoarea totala eligibilă </t>
        </is>
      </c>
      <c r="C25" s="379">
        <f>C23-C24</f>
        <v/>
      </c>
      <c r="D25" s="216" t="n"/>
      <c r="E25" s="216" t="n"/>
      <c r="F25" s="216" t="n"/>
      <c r="G25" s="216" t="n"/>
      <c r="H25" s="216" t="n"/>
      <c r="I25" s="216" t="n"/>
    </row>
    <row r="26">
      <c r="A26" s="138" t="inlineStr">
        <is>
          <t>II</t>
        </is>
      </c>
      <c r="B26" s="143" t="inlineStr">
        <is>
          <t>Contribuţia proprie, din care :</t>
        </is>
      </c>
      <c r="C26" s="378">
        <f>SUM(C27:C28)</f>
        <v/>
      </c>
      <c r="D26" s="216" t="n"/>
      <c r="E26" s="216" t="n"/>
      <c r="F26" s="216" t="n"/>
      <c r="G26" s="216" t="n"/>
      <c r="H26" s="216" t="n"/>
      <c r="I26" s="216" t="n"/>
    </row>
    <row r="27">
      <c r="A27" s="138" t="inlineStr">
        <is>
          <t>II.a.</t>
        </is>
      </c>
      <c r="B27" s="138" t="inlineStr">
        <is>
          <t xml:space="preserve">Contribuţia solicitantului la cheltuieli eligibile </t>
        </is>
      </c>
      <c r="C27" s="217" t="n">
        <v>165513.63</v>
      </c>
      <c r="D27" s="477">
        <f>IF(C27&lt;C25*0.1,"!!! Contribuția la cheltuielile eligibile nu este de minimum 10%","")</f>
        <v/>
      </c>
    </row>
    <row r="28">
      <c r="A28" s="138" t="inlineStr">
        <is>
          <t>II.b.</t>
        </is>
      </c>
      <c r="B28" s="138" t="inlineStr">
        <is>
          <t>Contribuţia solicitantului la cheltuieli neeligibile, inclusiv TVA aferenta</t>
        </is>
      </c>
      <c r="C28" s="379">
        <f>H18</f>
        <v/>
      </c>
      <c r="D28" s="216" t="n"/>
      <c r="E28" s="216" t="n"/>
      <c r="F28" s="216" t="n"/>
      <c r="G28" s="216" t="n"/>
      <c r="H28" s="216" t="n"/>
      <c r="I28" s="216" t="n"/>
    </row>
    <row r="29">
      <c r="A29" s="138" t="inlineStr">
        <is>
          <t>III</t>
        </is>
      </c>
      <c r="B29" s="143" t="inlineStr">
        <is>
          <t>ASISTENŢĂ FINANCIARĂ NERAMBURSABILĂ SOLICITATĂ</t>
        </is>
      </c>
      <c r="C29" s="378">
        <f>C23-C26</f>
        <v/>
      </c>
      <c r="D29" s="216" t="n"/>
      <c r="E29" s="216" t="n"/>
      <c r="F29" s="216" t="n"/>
      <c r="G29" s="216" t="n"/>
      <c r="H29" s="216" t="n"/>
      <c r="I29" s="216" t="n"/>
    </row>
    <row r="30">
      <c r="A30" s="188" t="n"/>
      <c r="B30" s="182" t="n"/>
      <c r="C30" s="216" t="n"/>
      <c r="D30" s="216" t="n"/>
      <c r="E30" s="216" t="n"/>
      <c r="F30" s="216" t="n"/>
      <c r="G30" s="216" t="n"/>
      <c r="H30" s="216" t="n"/>
      <c r="I30" s="216" t="n"/>
    </row>
    <row r="31">
      <c r="A31" s="188" t="n"/>
      <c r="B31" s="182" t="n"/>
      <c r="C31" s="216" t="n"/>
      <c r="D31" s="216" t="n"/>
      <c r="E31" s="216" t="n"/>
      <c r="F31" s="216" t="n"/>
      <c r="G31" s="216" t="n"/>
      <c r="H31" s="216" t="n"/>
      <c r="I31" s="216" t="n"/>
    </row>
  </sheetData>
  <mergeCells count="9">
    <mergeCell ref="D27:I27"/>
    <mergeCell ref="A1:I1"/>
    <mergeCell ref="C3:D3"/>
    <mergeCell ref="F3:G3"/>
    <mergeCell ref="E3:E4"/>
    <mergeCell ref="H3:H4"/>
    <mergeCell ref="I3:I4"/>
    <mergeCell ref="B3:B4"/>
    <mergeCell ref="A3:A4"/>
  </mergeCells>
  <pageMargins left="0.480072463768116" right="0.4347826086956522" top="0.5511811023622047" bottom="0.7971014492753623" header="0.3149606299212598" footer="0.3149606299212598"/>
  <pageSetup orientation="landscape" paperSize="9" fitToHeight="0" blackAndWhite="1" horizontalDpi="300" verticalDpi="300"/>
</worksheet>
</file>

<file path=xl/worksheets/sheet8.xml><?xml version="1.0" encoding="utf-8"?>
<worksheet xmlns="http://schemas.openxmlformats.org/spreadsheetml/2006/main">
  <sheetPr>
    <tabColor rgb="FFFF0000"/>
    <outlinePr summaryBelow="1" summaryRight="1"/>
    <pageSetUpPr/>
  </sheetPr>
  <dimension ref="A1:M211"/>
  <sheetViews>
    <sheetView topLeftCell="A183" workbookViewId="0">
      <selection activeCell="J137" sqref="J137"/>
    </sheetView>
  </sheetViews>
  <sheetFormatPr baseColWidth="8" defaultColWidth="9.109375" defaultRowHeight="13.8"/>
  <cols>
    <col width="4.44140625" customWidth="1" style="37" min="1" max="1"/>
    <col width="33" customWidth="1" style="224" min="2" max="2"/>
    <col width="10.44140625" customWidth="1" style="207" min="3" max="3"/>
    <col width="10.44140625" customWidth="1" style="362" min="4" max="13"/>
    <col width="9.109375" customWidth="1" style="155" min="14" max="16384"/>
  </cols>
  <sheetData>
    <row r="1">
      <c r="A1" s="459" t="inlineStr">
        <is>
          <t xml:space="preserve"> 3A - Proiecții financiare aferente proiectului de investiție în perioada de implementare și operare</t>
        </is>
      </c>
    </row>
    <row r="2">
      <c r="A2" s="459" t="n"/>
      <c r="B2" s="220" t="n"/>
      <c r="C2" s="197" t="n"/>
      <c r="D2" s="197" t="n"/>
      <c r="E2" s="197" t="n"/>
      <c r="F2" s="197" t="n"/>
      <c r="G2" s="197" t="n"/>
    </row>
    <row r="3" ht="189" customHeight="1" s="350">
      <c r="A3" s="155" t="n"/>
      <c r="B3" s="508" t="inlineStr">
        <is>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is>
      </c>
    </row>
    <row r="4" ht="14.4" customFormat="1" customHeight="1" s="145">
      <c r="A4" s="511" t="inlineStr">
        <is>
          <t>Tabel 1: PROIECTII FINANCIARE - FARA ADOPTAREA PROIECTULUI DE INVESTITIE</t>
        </is>
      </c>
      <c r="B4" s="566" t="n"/>
      <c r="C4" s="566" t="n"/>
      <c r="D4" s="566" t="n"/>
      <c r="E4" s="566" t="n"/>
      <c r="F4" s="566" t="n"/>
      <c r="G4" s="566" t="n"/>
    </row>
    <row r="5" ht="14.4" customFormat="1" customHeight="1" s="145">
      <c r="A5" s="498" t="inlineStr">
        <is>
          <t>Nr</t>
        </is>
      </c>
      <c r="B5" s="499" t="n"/>
      <c r="C5" s="500" t="inlineStr">
        <is>
          <t>Total</t>
        </is>
      </c>
      <c r="D5" s="262" t="inlineStr">
        <is>
          <t>Implementare si operare</t>
        </is>
      </c>
      <c r="E5" s="552" t="n"/>
      <c r="F5" s="552" t="n"/>
      <c r="G5" s="553" t="n"/>
    </row>
    <row r="6" ht="30.6" customFormat="1" customHeight="1" s="145">
      <c r="A6" s="558" t="n"/>
      <c r="B6" s="558" t="n"/>
      <c r="C6" s="558" t="n"/>
      <c r="D6" s="401" t="inlineStr">
        <is>
          <t>AN Implementare</t>
        </is>
      </c>
      <c r="E6" s="500" t="inlineStr">
        <is>
          <t>AN 1</t>
        </is>
      </c>
      <c r="F6" s="500" t="inlineStr">
        <is>
          <t>AN 2</t>
        </is>
      </c>
      <c r="G6" s="500" t="inlineStr">
        <is>
          <t>AN 3</t>
        </is>
      </c>
    </row>
    <row r="7" ht="14.4" customFormat="1" customHeight="1" s="145">
      <c r="A7" s="567" t="inlineStr">
        <is>
          <t>INCASARI DIN ACTIVITATEA DE EXPLOATARE (fara investitie)</t>
        </is>
      </c>
      <c r="B7" s="552" t="n"/>
      <c r="C7" s="552" t="n"/>
      <c r="D7" s="552" t="n"/>
      <c r="E7" s="552" t="n"/>
      <c r="F7" s="552" t="n"/>
      <c r="G7" s="553" t="n"/>
    </row>
    <row r="8" ht="14.4" customFormat="1" customHeight="1" s="145">
      <c r="A8" s="531" t="inlineStr">
        <is>
          <t xml:space="preserve">Venituri din exploatare, incl TVA </t>
        </is>
      </c>
      <c r="B8" s="552" t="n"/>
      <c r="C8" s="552" t="n"/>
      <c r="D8" s="552" t="n"/>
      <c r="E8" s="552" t="n"/>
      <c r="F8" s="552" t="n"/>
      <c r="G8" s="553" t="n"/>
    </row>
    <row r="9" ht="14.4" customFormat="1" customHeight="1" s="145">
      <c r="A9" s="4" t="n">
        <v>1</v>
      </c>
      <c r="B9" s="505" t="inlineStr">
        <is>
          <t>Venituri din vanzari produse</t>
        </is>
      </c>
      <c r="C9" s="204">
        <f>SUM(D9:G9)</f>
        <v/>
      </c>
      <c r="D9" s="202">
        <f>D10*D11</f>
        <v/>
      </c>
      <c r="E9" s="202">
        <f>E10*E11</f>
        <v/>
      </c>
      <c r="F9" s="202">
        <f>F10*F11</f>
        <v/>
      </c>
      <c r="G9" s="202">
        <f>G10*G11</f>
        <v/>
      </c>
    </row>
    <row r="10" ht="14.4" customFormat="1" customHeight="1" s="146">
      <c r="A10" s="5" t="n"/>
      <c r="B10" s="505" t="inlineStr">
        <is>
          <t xml:space="preserve">    cantitate  produse</t>
        </is>
      </c>
      <c r="C10" s="204" t="n"/>
      <c r="D10" s="199" t="n">
        <v>0</v>
      </c>
      <c r="E10" s="199" t="n">
        <v>0</v>
      </c>
      <c r="F10" s="199" t="n">
        <v>0</v>
      </c>
      <c r="G10" s="199" t="n">
        <v>0</v>
      </c>
    </row>
    <row r="11" ht="14.4" customFormat="1" customHeight="1" s="146">
      <c r="A11" s="5" t="n"/>
      <c r="B11" s="505" t="inlineStr">
        <is>
          <t xml:space="preserve">    pret unitar (produs)</t>
        </is>
      </c>
      <c r="C11" s="204" t="n"/>
      <c r="D11" s="199" t="n">
        <v>0</v>
      </c>
      <c r="E11" s="199" t="n">
        <v>0</v>
      </c>
      <c r="F11" s="199" t="n">
        <v>0</v>
      </c>
      <c r="G11" s="199" t="n">
        <v>0</v>
      </c>
    </row>
    <row r="12" ht="14.4" customFormat="1" customHeight="1" s="145">
      <c r="A12" s="4" t="n">
        <v>2</v>
      </c>
      <c r="B12" s="505" t="inlineStr">
        <is>
          <t>Venituri din prestari servicii</t>
        </is>
      </c>
      <c r="C12" s="204">
        <f>SUM(D12:G12)</f>
        <v/>
      </c>
      <c r="D12" s="202">
        <f>D13*D14</f>
        <v/>
      </c>
      <c r="E12" s="202">
        <f>E13*E14</f>
        <v/>
      </c>
      <c r="F12" s="202">
        <f>F13*F14</f>
        <v/>
      </c>
      <c r="G12" s="202">
        <f>G13*G14</f>
        <v/>
      </c>
    </row>
    <row r="13" ht="14.4" customFormat="1" customHeight="1" s="146">
      <c r="A13" s="5" t="n"/>
      <c r="B13" s="505" t="inlineStr">
        <is>
          <t xml:space="preserve">    cantitatea  de servicii </t>
        </is>
      </c>
      <c r="C13" s="204" t="n"/>
      <c r="D13" s="199" t="n"/>
      <c r="E13" s="199" t="n"/>
      <c r="F13" s="199" t="n"/>
      <c r="G13" s="199" t="n"/>
      <c r="K13" s="360" t="n"/>
    </row>
    <row r="14" ht="14.4" customFormat="1" customHeight="1" s="146">
      <c r="A14" s="5" t="n"/>
      <c r="B14" s="505" t="inlineStr">
        <is>
          <t xml:space="preserve">    tariful / unitatea de măsură specifică</t>
        </is>
      </c>
      <c r="C14" s="204" t="n"/>
      <c r="D14" s="199">
        <f>'1B-ContPP'!D13*1.03*1.19</f>
        <v/>
      </c>
      <c r="E14" s="199">
        <f>D14*1.03</f>
        <v/>
      </c>
      <c r="F14" s="199">
        <f>E14</f>
        <v/>
      </c>
      <c r="G14" s="199">
        <f>F14</f>
        <v/>
      </c>
    </row>
    <row r="15" ht="14.4" customFormat="1" customHeight="1" s="145">
      <c r="A15" s="4" t="n">
        <v>3</v>
      </c>
      <c r="B15" s="505" t="inlineStr">
        <is>
          <t>Venituri din vanzari marfuri</t>
        </is>
      </c>
      <c r="C15" s="204">
        <f>SUM(D15:G15)</f>
        <v/>
      </c>
      <c r="D15" s="202">
        <f>D16*D17</f>
        <v/>
      </c>
      <c r="E15" s="202">
        <f>E16*E17</f>
        <v/>
      </c>
      <c r="F15" s="202">
        <f>F16*F17</f>
        <v/>
      </c>
      <c r="G15" s="202">
        <f>G16*G17</f>
        <v/>
      </c>
    </row>
    <row r="16" ht="14.4" customFormat="1" customHeight="1" s="146">
      <c r="A16" s="5" t="n"/>
      <c r="B16" s="505" t="inlineStr">
        <is>
          <t xml:space="preserve">    cantitate marfuri</t>
        </is>
      </c>
      <c r="C16" s="204" t="n"/>
      <c r="D16" s="199" t="n">
        <v>1</v>
      </c>
      <c r="E16" s="199" t="n">
        <v>1</v>
      </c>
      <c r="F16" s="199" t="n">
        <v>1</v>
      </c>
      <c r="G16" s="199" t="n">
        <v>1</v>
      </c>
    </row>
    <row r="17" ht="14.4" customFormat="1" customHeight="1" s="146">
      <c r="A17" s="5" t="n"/>
      <c r="B17" s="505" t="inlineStr">
        <is>
          <t xml:space="preserve">    pret unitar (marfa)</t>
        </is>
      </c>
      <c r="C17" s="204" t="n"/>
      <c r="D17" s="199">
        <f>'1B-ContPP'!C6*1.19*0.02 + '1B-ContPP'!C6*1.19</f>
        <v/>
      </c>
      <c r="E17" s="199">
        <f>D17*0.01 + D17</f>
        <v/>
      </c>
      <c r="F17" s="199">
        <f>D17*0.01 + E17</f>
        <v/>
      </c>
      <c r="G17" s="199">
        <f>D17*0.01 +F17</f>
        <v/>
      </c>
    </row>
    <row r="18" ht="24" customFormat="1" customHeight="1" s="150">
      <c r="A18" s="229" t="n"/>
      <c r="B18" s="531" t="inlineStr">
        <is>
          <t>Total incasari (intrari de lichiditati) din activitatea de exploatare (FARA proiect)</t>
        </is>
      </c>
      <c r="C18" s="204">
        <f>SUM(D18:G18)</f>
        <v/>
      </c>
      <c r="D18" s="204">
        <f>D9+D12+D15</f>
        <v/>
      </c>
      <c r="E18" s="204">
        <f>E9+E12+E15</f>
        <v/>
      </c>
      <c r="F18" s="204">
        <f>F9+F12+F15</f>
        <v/>
      </c>
      <c r="G18" s="204">
        <f>G9+G12+G15</f>
        <v/>
      </c>
    </row>
    <row r="19" ht="14.4" customFormat="1" customHeight="1" s="150">
      <c r="A19" s="567" t="inlineStr">
        <is>
          <t>PLATI DIN ACTIVITATEA DE EXPLOATARE (fara investitie)</t>
        </is>
      </c>
      <c r="B19" s="552" t="n"/>
      <c r="C19" s="552" t="n"/>
      <c r="D19" s="552" t="n"/>
      <c r="E19" s="552" t="n"/>
      <c r="F19" s="552" t="n"/>
      <c r="G19" s="553" t="n"/>
    </row>
    <row r="20" ht="14.4" customFormat="1" customHeight="1" s="150">
      <c r="A20" s="531" t="inlineStr">
        <is>
          <t xml:space="preserve">Cheltuieli de exploatare, incl TVA </t>
        </is>
      </c>
      <c r="B20" s="552" t="n"/>
      <c r="C20" s="552" t="n"/>
      <c r="D20" s="552" t="n"/>
      <c r="E20" s="552" t="n"/>
      <c r="F20" s="552" t="n"/>
      <c r="G20" s="553" t="n"/>
    </row>
    <row r="21" ht="24" customFormat="1" customHeight="1" s="145">
      <c r="A21" s="4" t="n">
        <v>5</v>
      </c>
      <c r="B21" s="6" t="inlineStr">
        <is>
          <t>Cheltuieli cu materiile prime si cu materialele consumabile</t>
        </is>
      </c>
      <c r="C21" s="204">
        <f>SUM(D21:G21)</f>
        <v/>
      </c>
      <c r="D21" s="202">
        <f>SUM(D22*D23)+SUM(D24*D25)</f>
        <v/>
      </c>
      <c r="E21" s="202">
        <f>SUM(E22*E23)+SUM(E24*E25)</f>
        <v/>
      </c>
      <c r="F21" s="202">
        <f>SUM(F22*F23)+SUM(F24*F25)</f>
        <v/>
      </c>
      <c r="G21" s="202">
        <f>SUM(G22*G23)+SUM(G24*G25)</f>
        <v/>
      </c>
    </row>
    <row r="22" ht="14.4" customFormat="1" customHeight="1" s="150">
      <c r="A22" s="4" t="n"/>
      <c r="B22" s="505" t="inlineStr">
        <is>
          <t xml:space="preserve">    consum de materii prime </t>
        </is>
      </c>
      <c r="C22" s="204" t="n"/>
      <c r="D22" s="199" t="n">
        <v>1</v>
      </c>
      <c r="E22" s="199" t="n">
        <v>1</v>
      </c>
      <c r="F22" s="199" t="n">
        <v>1</v>
      </c>
      <c r="G22" s="199" t="n">
        <v>1</v>
      </c>
    </row>
    <row r="23" ht="14.4" customFormat="1" customHeight="1" s="150">
      <c r="A23" s="4" t="n"/>
      <c r="B23" s="505" t="inlineStr">
        <is>
          <t xml:space="preserve">    pret unitar materii prime</t>
        </is>
      </c>
      <c r="C23" s="204" t="n"/>
      <c r="D23" s="199">
        <f>('1B-ContPP'!C14 +'1B-ContPP'!C15)*1.19*0.01 + ('1B-ContPP'!C14 +'1B-ContPP'!C15)*1.19</f>
        <v/>
      </c>
      <c r="E23" s="199">
        <f>D23*0.005 + D23</f>
        <v/>
      </c>
      <c r="F23" s="199">
        <f>D23*0.005 +E23</f>
        <v/>
      </c>
      <c r="G23" s="199">
        <f>D23*0.005 +F23</f>
        <v/>
      </c>
    </row>
    <row r="24" ht="14.4" customFormat="1" customHeight="1" s="150">
      <c r="A24" s="4" t="n"/>
      <c r="B24" s="505" t="inlineStr">
        <is>
          <t xml:space="preserve">    consum de materiale consumabile</t>
        </is>
      </c>
      <c r="C24" s="204" t="n"/>
      <c r="D24" s="199" t="n">
        <v>1</v>
      </c>
      <c r="E24" s="199" t="n">
        <v>1</v>
      </c>
      <c r="F24" s="199" t="n">
        <v>1</v>
      </c>
      <c r="G24" s="199" t="n">
        <v>1</v>
      </c>
    </row>
    <row r="25" ht="14.4" customFormat="1" customHeight="1" s="150">
      <c r="A25" s="4" t="n"/>
      <c r="B25" s="505" t="inlineStr">
        <is>
          <t xml:space="preserve">    pret unitar materiale consumabile</t>
        </is>
      </c>
      <c r="C25" s="204" t="n"/>
      <c r="D25" s="199" t="n">
        <v>0</v>
      </c>
      <c r="E25" s="199">
        <f>D25*1.05</f>
        <v/>
      </c>
      <c r="F25" s="199">
        <f>E25*1.05</f>
        <v/>
      </c>
      <c r="G25" s="199">
        <f>F25*1.05</f>
        <v/>
      </c>
    </row>
    <row r="26" ht="14.4" customFormat="1" customHeight="1" s="145">
      <c r="A26" s="4" t="n">
        <v>6</v>
      </c>
      <c r="B26" s="6" t="inlineStr">
        <is>
          <t xml:space="preserve">Cheltuieli privind marfurile </t>
        </is>
      </c>
      <c r="C26" s="204">
        <f>SUM(D26:G26)</f>
        <v/>
      </c>
      <c r="D26" s="202">
        <f>D27*D28</f>
        <v/>
      </c>
      <c r="E26" s="202">
        <f>E27*E28</f>
        <v/>
      </c>
      <c r="F26" s="202">
        <f>F27*F28</f>
        <v/>
      </c>
      <c r="G26" s="202">
        <f>G27*G28</f>
        <v/>
      </c>
    </row>
    <row r="27" ht="14.4" customFormat="1" customHeight="1" s="150">
      <c r="A27" s="4" t="n"/>
      <c r="B27" s="505" t="inlineStr">
        <is>
          <t xml:space="preserve">    cantitate marfuri</t>
        </is>
      </c>
      <c r="C27" s="204" t="n"/>
      <c r="D27" s="199" t="n">
        <v>1</v>
      </c>
      <c r="E27" s="199" t="n">
        <v>1</v>
      </c>
      <c r="F27" s="199" t="n">
        <v>1</v>
      </c>
      <c r="G27" s="199" t="n">
        <v>1</v>
      </c>
    </row>
    <row r="28" ht="14.4" customFormat="1" customHeight="1" s="150">
      <c r="A28" s="4" t="n"/>
      <c r="B28" s="505" t="inlineStr">
        <is>
          <t xml:space="preserve">    pret unitar marfuri</t>
        </is>
      </c>
      <c r="C28" s="204" t="n"/>
      <c r="D28" s="199">
        <f>'1B-ContPP'!C17*1.19*0.005 + '1B-ContPP'!C17*1.19</f>
        <v/>
      </c>
      <c r="E28" s="199">
        <f>D28*0.005 + D28</f>
        <v/>
      </c>
      <c r="F28" s="199">
        <f>D28*0.005+E28</f>
        <v/>
      </c>
      <c r="G28" s="199">
        <f>D28*0.005 +F28</f>
        <v/>
      </c>
    </row>
    <row r="29" ht="24" customFormat="1" customHeight="1" s="150">
      <c r="A29" s="4" t="n">
        <v>7</v>
      </c>
      <c r="B29" s="505" t="inlineStr">
        <is>
          <t>Alte cheltuieli materiale (inclusiv cheltuieli cu prestatii externe)</t>
        </is>
      </c>
      <c r="C29" s="204">
        <f>SUM(D29:G29)</f>
        <v/>
      </c>
      <c r="D29" s="199" t="n">
        <v>0</v>
      </c>
      <c r="E29" s="199">
        <f>D29*1.01</f>
        <v/>
      </c>
      <c r="F29" s="199">
        <f>E29*1.01</f>
        <v/>
      </c>
      <c r="G29" s="199">
        <f>F29*1.01</f>
        <v/>
      </c>
    </row>
    <row r="30" ht="14.4" customFormat="1" customHeight="1" s="150">
      <c r="A30" s="4" t="n">
        <v>8</v>
      </c>
      <c r="B30" s="505" t="inlineStr">
        <is>
          <t xml:space="preserve">Cheltuieli cu energia </t>
        </is>
      </c>
      <c r="C30" s="204">
        <f>SUM(D30:G30)</f>
        <v/>
      </c>
      <c r="D30" s="202">
        <f>D31*D32</f>
        <v/>
      </c>
      <c r="E30" s="202">
        <f>E31*E32</f>
        <v/>
      </c>
      <c r="F30" s="202">
        <f>F31*F32</f>
        <v/>
      </c>
      <c r="G30" s="202">
        <f>G31*G32</f>
        <v/>
      </c>
    </row>
    <row r="31" ht="24" customFormat="1" customHeight="1" s="150">
      <c r="A31" s="4" t="n"/>
      <c r="B31" s="505" t="inlineStr">
        <is>
          <t xml:space="preserve">    cantitatea consumatã (unitãți de mãsurã specifice)</t>
        </is>
      </c>
      <c r="C31" s="204" t="n"/>
      <c r="D31" s="199" t="n">
        <v>1</v>
      </c>
      <c r="E31" s="199" t="n">
        <v>1</v>
      </c>
      <c r="F31" s="199" t="n">
        <v>1</v>
      </c>
      <c r="G31" s="199" t="n">
        <v>1</v>
      </c>
    </row>
    <row r="32" ht="14.4" customFormat="1" customHeight="1" s="150">
      <c r="A32" s="4" t="n"/>
      <c r="B32" s="505" t="inlineStr">
        <is>
          <t xml:space="preserve">    tariful de furnizare unitar</t>
        </is>
      </c>
      <c r="C32" s="204" t="n"/>
      <c r="D32" s="199">
        <f>'1B-ContPP'!C16*1.19*0.01 + '1B-ContPP'!C16*1.19</f>
        <v/>
      </c>
      <c r="E32" s="199">
        <f>D32*0.01 + D32</f>
        <v/>
      </c>
      <c r="F32" s="199">
        <f>D32*0.01 + E32</f>
        <v/>
      </c>
      <c r="G32" s="199">
        <f>D32*0.01 + F32</f>
        <v/>
      </c>
    </row>
    <row r="33" ht="14.4" customFormat="1" customHeight="1" s="150">
      <c r="A33" s="4" t="n">
        <v>9</v>
      </c>
      <c r="B33" s="505" t="inlineStr">
        <is>
          <t>Cheltuieli cu apa</t>
        </is>
      </c>
      <c r="C33" s="204">
        <f>SUM(D33:G33)</f>
        <v/>
      </c>
      <c r="D33" s="202">
        <f>D34*D35</f>
        <v/>
      </c>
      <c r="E33" s="202">
        <f>E34*E35</f>
        <v/>
      </c>
      <c r="F33" s="202">
        <f>F34*F35</f>
        <v/>
      </c>
      <c r="G33" s="202">
        <f>G34*G35</f>
        <v/>
      </c>
    </row>
    <row r="34" ht="24" customFormat="1" customHeight="1" s="150">
      <c r="A34" s="4" t="n"/>
      <c r="B34" s="505" t="inlineStr">
        <is>
          <t xml:space="preserve">    cantitatea consumatã (unitãți de mãsurã specifice)</t>
        </is>
      </c>
      <c r="C34" s="204" t="n"/>
      <c r="D34" s="199" t="n">
        <v>0</v>
      </c>
      <c r="E34" s="199" t="n">
        <v>0</v>
      </c>
      <c r="F34" s="199" t="n">
        <v>0</v>
      </c>
      <c r="G34" s="199" t="n">
        <v>0</v>
      </c>
    </row>
    <row r="35" ht="14.4" customFormat="1" customHeight="1" s="150">
      <c r="A35" s="4" t="n"/>
      <c r="B35" s="505" t="inlineStr">
        <is>
          <t xml:space="preserve">    tariful de furnizare unitar</t>
        </is>
      </c>
      <c r="C35" s="204" t="n"/>
      <c r="D35" s="199" t="n">
        <v>0</v>
      </c>
      <c r="E35" s="199" t="n">
        <v>0</v>
      </c>
      <c r="F35" s="199" t="n">
        <v>0</v>
      </c>
      <c r="G35" s="199" t="n">
        <v>0</v>
      </c>
    </row>
    <row r="36" ht="14.4" customFormat="1" customHeight="1" s="150">
      <c r="A36" s="4" t="n">
        <v>10</v>
      </c>
      <c r="B36" s="505" t="inlineStr">
        <is>
          <t>Alte cheltuieli din afara (cu utilitati)</t>
        </is>
      </c>
      <c r="C36" s="204">
        <f>SUM(D36:G36)</f>
        <v/>
      </c>
      <c r="D36" s="202">
        <f>D37*D38</f>
        <v/>
      </c>
      <c r="E36" s="202">
        <f>E37*E38</f>
        <v/>
      </c>
      <c r="F36" s="202">
        <f>F37*F38</f>
        <v/>
      </c>
      <c r="G36" s="202">
        <f>G37*G38</f>
        <v/>
      </c>
    </row>
    <row r="37" ht="24" customFormat="1" customHeight="1" s="150">
      <c r="A37" s="4" t="n"/>
      <c r="B37" s="505" t="inlineStr">
        <is>
          <t xml:space="preserve">    cantitatea consumatã (unitãți de mãsurã specifice)</t>
        </is>
      </c>
      <c r="C37" s="204" t="n"/>
      <c r="D37" s="199" t="n">
        <v>0</v>
      </c>
      <c r="E37" s="199" t="n">
        <v>0</v>
      </c>
      <c r="F37" s="199" t="n">
        <v>0</v>
      </c>
      <c r="G37" s="199" t="n">
        <v>0</v>
      </c>
    </row>
    <row r="38" ht="14.4" customFormat="1" customHeight="1" s="150">
      <c r="A38" s="4" t="n"/>
      <c r="B38" s="505" t="inlineStr">
        <is>
          <t xml:space="preserve">    tariful de furnizare unitar</t>
        </is>
      </c>
      <c r="C38" s="204" t="n"/>
      <c r="D38" s="199" t="n">
        <v>0</v>
      </c>
      <c r="E38" s="199" t="n">
        <v>0</v>
      </c>
      <c r="F38" s="199" t="n">
        <v>0</v>
      </c>
      <c r="G38" s="199" t="n">
        <v>0</v>
      </c>
    </row>
    <row r="39" ht="14.4" customFormat="1" customHeight="1" s="145">
      <c r="A39" s="4" t="n"/>
      <c r="B39" s="531" t="inlineStr">
        <is>
          <t>Total cheltuieli materiale</t>
        </is>
      </c>
      <c r="C39" s="204">
        <f>SUM(D39:G39)</f>
        <v/>
      </c>
      <c r="D39" s="204">
        <f>D21+D26+D29+D30+D33+D36</f>
        <v/>
      </c>
      <c r="E39" s="204">
        <f>E21+E26+E29+E30+E33+E36</f>
        <v/>
      </c>
      <c r="F39" s="204">
        <f>F21+F26+F29+F30+F33+F36</f>
        <v/>
      </c>
      <c r="G39" s="204">
        <f>G21+G26+G29+G30+G33+G36</f>
        <v/>
      </c>
    </row>
    <row r="40" ht="14.4" customFormat="1" customHeight="1" s="145">
      <c r="A40" s="4" t="n">
        <v>11</v>
      </c>
      <c r="B40" s="505" t="inlineStr">
        <is>
          <t>Cheltuieli cu personalul angajat</t>
        </is>
      </c>
      <c r="C40" s="204">
        <f>SUM(D40:G40)</f>
        <v/>
      </c>
      <c r="D40" s="204">
        <f>(D41*D42)*D43</f>
        <v/>
      </c>
      <c r="E40" s="204">
        <f>(E41*E42)*E43</f>
        <v/>
      </c>
      <c r="F40" s="204">
        <f>(F41*F42)*F43</f>
        <v/>
      </c>
      <c r="G40" s="204">
        <f>(G41*G42)*G43</f>
        <v/>
      </c>
    </row>
    <row r="41" ht="14.4" customFormat="1" customHeight="1" s="145">
      <c r="A41" s="4" t="n"/>
      <c r="B41" s="505" t="inlineStr">
        <is>
          <t xml:space="preserve">    număr de angajați</t>
        </is>
      </c>
      <c r="C41" s="204" t="n"/>
      <c r="D41" s="199" t="n">
        <v>1</v>
      </c>
      <c r="E41" s="199" t="n">
        <v>1</v>
      </c>
      <c r="F41" s="199" t="n">
        <v>1</v>
      </c>
      <c r="G41" s="199" t="n">
        <v>1</v>
      </c>
    </row>
    <row r="42" ht="14.4" customFormat="1" customHeight="1" s="145">
      <c r="A42" s="4" t="n"/>
      <c r="B42" s="505" t="inlineStr">
        <is>
          <t xml:space="preserve">    salariul de bază prognozat/luna</t>
        </is>
      </c>
      <c r="C42" s="204" t="n"/>
      <c r="D42" s="199">
        <f>'1B-ContPP'!C19</f>
        <v/>
      </c>
      <c r="E42" s="199">
        <f>D42*1</f>
        <v/>
      </c>
      <c r="F42" s="199">
        <f>E42*1</f>
        <v/>
      </c>
      <c r="G42" s="199">
        <f>F42*1</f>
        <v/>
      </c>
    </row>
    <row r="43" ht="14.4" customFormat="1" customHeight="1" s="145">
      <c r="A43" s="4" t="n"/>
      <c r="B43" s="505" t="inlineStr">
        <is>
          <t xml:space="preserve">    numar de luni / an </t>
        </is>
      </c>
      <c r="C43" s="204" t="n"/>
      <c r="D43" s="199" t="n">
        <v>1</v>
      </c>
      <c r="E43" s="199" t="n">
        <v>1</v>
      </c>
      <c r="F43" s="199" t="n">
        <v>1</v>
      </c>
      <c r="G43" s="199" t="n">
        <v>1</v>
      </c>
    </row>
    <row r="44" ht="14.4" customFormat="1" customHeight="1" s="145">
      <c r="A44" s="7" t="n">
        <v>12</v>
      </c>
      <c r="B44" s="6" t="inlineStr">
        <is>
          <t xml:space="preserve">Cheltuieli cu asigurarile si protectia sociala </t>
        </is>
      </c>
      <c r="C44" s="204">
        <f>SUM(D44:G44)</f>
        <v/>
      </c>
      <c r="D44" s="199">
        <f>'1B-ContPP'!C19*0.0225</f>
        <v/>
      </c>
      <c r="E44" s="199">
        <f>D44*1</f>
        <v/>
      </c>
      <c r="F44" s="199">
        <f>E44*1</f>
        <v/>
      </c>
      <c r="G44" s="199">
        <f>F44*1</f>
        <v/>
      </c>
    </row>
    <row r="45" ht="14.4" customFormat="1" customHeight="1" s="150">
      <c r="A45" s="4" t="n"/>
      <c r="B45" s="531" t="inlineStr">
        <is>
          <t>Cheltuieli de personal</t>
        </is>
      </c>
      <c r="C45" s="204">
        <f>SUM(D45:G45)</f>
        <v/>
      </c>
      <c r="D45" s="333">
        <f>D40+D44</f>
        <v/>
      </c>
      <c r="E45" s="333">
        <f>E40+E44</f>
        <v/>
      </c>
      <c r="F45" s="333">
        <f>F40+F44</f>
        <v/>
      </c>
      <c r="G45" s="333">
        <f>G40+G44</f>
        <v/>
      </c>
    </row>
    <row r="46" ht="36" customFormat="1" customHeight="1" s="150">
      <c r="A46" s="4" t="n">
        <v>13</v>
      </c>
      <c r="B46" s="6" t="inlineStr">
        <is>
          <t>Alte cheltuieli de exploatare (prestatii externe, alte impozite, taxe si varsaminte asimilate, alte cheltuieli), din care:</t>
        </is>
      </c>
      <c r="C46" s="204">
        <f>SUM(D46:G46)</f>
        <v/>
      </c>
      <c r="D46" s="199">
        <f>'1B-ContPP'!C22*1.19*0.01 + '1B-ContPP'!C22*1.19</f>
        <v/>
      </c>
      <c r="E46" s="199">
        <f>D46*0.005 + D46</f>
        <v/>
      </c>
      <c r="F46" s="199">
        <f>D46*0.005+E46</f>
        <v/>
      </c>
      <c r="G46" s="199">
        <f>D46*0.005+F46</f>
        <v/>
      </c>
    </row>
    <row r="47" ht="14.4" customFormat="1" customHeight="1" s="150">
      <c r="A47" s="4" t="n"/>
      <c r="B47" s="505" t="inlineStr">
        <is>
          <t xml:space="preserve">    Cheltuieli de intretinere si reparatii capitale</t>
        </is>
      </c>
      <c r="C47" s="204">
        <f>SUM(D47:G47)</f>
        <v/>
      </c>
      <c r="D47" s="333">
        <f>D48*D49</f>
        <v/>
      </c>
      <c r="E47" s="333">
        <f>E48*E49</f>
        <v/>
      </c>
      <c r="F47" s="333">
        <f>F48*F49</f>
        <v/>
      </c>
      <c r="G47" s="333">
        <f>G48*G49</f>
        <v/>
      </c>
    </row>
    <row r="48" ht="14.4" customFormat="1" customHeight="1" s="150">
      <c r="A48" s="4" t="n"/>
      <c r="B48" s="505" t="inlineStr">
        <is>
          <t xml:space="preserve">    cantitatea necesară de servicii mentenanța</t>
        </is>
      </c>
      <c r="C48" s="204" t="n"/>
      <c r="D48" s="199" t="n">
        <v>1</v>
      </c>
      <c r="E48" s="199" t="n">
        <v>1</v>
      </c>
      <c r="F48" s="199" t="n">
        <v>1</v>
      </c>
      <c r="G48" s="199" t="n">
        <v>1</v>
      </c>
    </row>
    <row r="49" ht="14.4" customFormat="1" customHeight="1" s="150">
      <c r="A49" s="4" t="n"/>
      <c r="B49" s="505" t="inlineStr">
        <is>
          <t xml:space="preserve">    tariful / unitatea de măsură specifică</t>
        </is>
      </c>
      <c r="C49" s="204" t="n"/>
      <c r="D49" s="199" t="n">
        <v>0</v>
      </c>
      <c r="E49" s="199">
        <f>D49*1.01</f>
        <v/>
      </c>
      <c r="F49" s="199">
        <f>E49*1.01</f>
        <v/>
      </c>
      <c r="G49" s="199">
        <f>F49*1.01</f>
        <v/>
      </c>
    </row>
    <row r="50" ht="36" customFormat="1" customHeight="1" s="155">
      <c r="A50" s="7" t="n">
        <v>14</v>
      </c>
      <c r="B50" s="531" t="inlineStr">
        <is>
          <t>Cheltuieli financiare (Cheltuieli privind dobanzile la imprumuturile contractate pentru activitatea aferenta investitiei)</t>
        </is>
      </c>
      <c r="C50" s="204">
        <f>SUM(D50:G50)</f>
        <v/>
      </c>
      <c r="D50" s="199">
        <f>'1B-ContPP'!C36*0.01 +'1B-ContPP'!C36  </f>
        <v/>
      </c>
      <c r="E50" s="199">
        <f>D50*0.005 + D50</f>
        <v/>
      </c>
      <c r="F50" s="199">
        <f>D50*0.005 + E50</f>
        <v/>
      </c>
      <c r="G50" s="199">
        <f>D50*0.005 + F50</f>
        <v/>
      </c>
    </row>
    <row r="51" ht="24" customFormat="1" customHeight="1" s="155">
      <c r="A51" s="7" t="n"/>
      <c r="B51" s="531" t="inlineStr">
        <is>
          <t>Total plati (iesiri de lichiditati) din activitatea de exploatare  (FARA proiect)</t>
        </is>
      </c>
      <c r="C51" s="204">
        <f>SUM(D51:G51)</f>
        <v/>
      </c>
      <c r="D51" s="202">
        <f>D39+D45+D46+D50</f>
        <v/>
      </c>
      <c r="E51" s="202">
        <f>E39+E45+E46+E50</f>
        <v/>
      </c>
      <c r="F51" s="202">
        <f>F39+F45+F46+F50</f>
        <v/>
      </c>
      <c r="G51" s="202">
        <f>G39+G45+G46+G50</f>
        <v/>
      </c>
    </row>
    <row r="52" ht="24" customFormat="1" customHeight="1" s="155">
      <c r="A52" s="7" t="n"/>
      <c r="B52" s="531" t="inlineStr">
        <is>
          <t>Flux de lichiditati brut din activitatea de  exploatare  (FARA proiect)</t>
        </is>
      </c>
      <c r="C52" s="204">
        <f>SUM(D52:G52)</f>
        <v/>
      </c>
      <c r="D52" s="202">
        <f>D18-D51</f>
        <v/>
      </c>
      <c r="E52" s="202">
        <f>E18-E51</f>
        <v/>
      </c>
      <c r="F52" s="202">
        <f>F18-F51</f>
        <v/>
      </c>
      <c r="G52" s="202">
        <f>G18-G51</f>
        <v/>
      </c>
    </row>
    <row r="53" customFormat="1" s="155">
      <c r="A53" s="7" t="n">
        <v>15</v>
      </c>
      <c r="B53" s="8" t="inlineStr">
        <is>
          <t>Plati TVA</t>
        </is>
      </c>
      <c r="C53" s="204">
        <f>SUM(D53:G53)</f>
        <v/>
      </c>
      <c r="D53" s="199">
        <f>D18*0.19/1.19 - (D21+D26+D29+D30+D46)*0.19/1.19</f>
        <v/>
      </c>
      <c r="E53" s="199">
        <f>E18*0.19/1.19 - (E21+E26+E29+E30+E46)*0.19/1.19</f>
        <v/>
      </c>
      <c r="F53" s="199">
        <f>F18*0.19/1.19 - (F21+F26+F29+F30+F46)*0.19/1.19</f>
        <v/>
      </c>
      <c r="G53" s="199">
        <f>G18*0.19/1.19 - (G21+G26+G29+G30+G46)*0.19/1.19</f>
        <v/>
      </c>
    </row>
    <row r="54" customFormat="1" s="155">
      <c r="A54" s="7" t="n">
        <v>16</v>
      </c>
      <c r="B54" s="8" t="inlineStr">
        <is>
          <t>Rambursari TVA</t>
        </is>
      </c>
      <c r="C54" s="204">
        <f>SUM(D54:G54)</f>
        <v/>
      </c>
      <c r="D54" s="199" t="n">
        <v>0</v>
      </c>
      <c r="E54" s="199" t="n">
        <v>0</v>
      </c>
      <c r="F54" s="199" t="n">
        <v>0</v>
      </c>
      <c r="G54" s="199" t="n">
        <v>0</v>
      </c>
    </row>
    <row r="55" customFormat="1" s="155">
      <c r="A55" s="7" t="n">
        <v>17</v>
      </c>
      <c r="B55" s="8" t="inlineStr">
        <is>
          <t>Impozit pe profit/venit</t>
        </is>
      </c>
      <c r="C55" s="204">
        <f>SUM(D55:G55)</f>
        <v/>
      </c>
      <c r="D55" s="199">
        <f>(D18/1.19)*1/100</f>
        <v/>
      </c>
      <c r="E55" s="199">
        <f>E18*1/100</f>
        <v/>
      </c>
      <c r="F55" s="199">
        <f>F18*1/100</f>
        <v/>
      </c>
      <c r="G55" s="199">
        <f>G18*1/100</f>
        <v/>
      </c>
    </row>
    <row r="56" ht="24" customFormat="1" customHeight="1" s="155">
      <c r="A56" s="7" t="n"/>
      <c r="B56" s="531" t="inlineStr">
        <is>
          <t>Plati/incasari pentru impozite si taxe   (FARA proiect)</t>
        </is>
      </c>
      <c r="C56" s="204">
        <f>SUM(D56:G56)</f>
        <v/>
      </c>
      <c r="D56" s="202">
        <f>D53-D54+D55</f>
        <v/>
      </c>
      <c r="E56" s="202">
        <f>E53-E54+E55</f>
        <v/>
      </c>
      <c r="F56" s="202">
        <f>F53-F54+F55</f>
        <v/>
      </c>
      <c r="G56" s="202">
        <f>G53-G54+G55</f>
        <v/>
      </c>
    </row>
    <row r="57" ht="24" customFormat="1" customHeight="1" s="150">
      <c r="A57" s="33" t="n"/>
      <c r="B57" s="531" t="inlineStr">
        <is>
          <t>Flux de lichiditati net din activitatea de  exploatare (FARA proiect)</t>
        </is>
      </c>
      <c r="C57" s="204">
        <f>SUM(D57:G57)</f>
        <v/>
      </c>
      <c r="D57" s="204">
        <f>D52-D56</f>
        <v/>
      </c>
      <c r="E57" s="204">
        <f>E52-E56</f>
        <v/>
      </c>
      <c r="F57" s="204">
        <f>F52-F56</f>
        <v/>
      </c>
      <c r="G57" s="204">
        <f>G52-G56</f>
        <v/>
      </c>
    </row>
    <row r="58" customFormat="1" s="155">
      <c r="A58" s="11" t="n"/>
      <c r="B58" s="505" t="inlineStr">
        <is>
          <t xml:space="preserve">Disponibil de numerar la inceputul perioadei </t>
        </is>
      </c>
      <c r="C58" s="204">
        <f>'1A-Bilant'!D28</f>
        <v/>
      </c>
      <c r="D58" s="202">
        <f>'1A-Bilant'!C28</f>
        <v/>
      </c>
      <c r="E58" s="202">
        <f>D59</f>
        <v/>
      </c>
      <c r="F58" s="202">
        <f>E59</f>
        <v/>
      </c>
      <c r="G58" s="202">
        <f>F59</f>
        <v/>
      </c>
    </row>
    <row r="59">
      <c r="A59" s="9" t="n"/>
      <c r="B59" s="505" t="inlineStr">
        <is>
          <t xml:space="preserve">Disponibil de numerar la sfarsitul perioadei </t>
        </is>
      </c>
      <c r="C59" s="204" t="n"/>
      <c r="D59" s="202">
        <f>D58+D57</f>
        <v/>
      </c>
      <c r="E59" s="202">
        <f>E58+E57</f>
        <v/>
      </c>
      <c r="F59" s="202">
        <f>F58+F57</f>
        <v/>
      </c>
      <c r="G59" s="202">
        <f>G58+G57</f>
        <v/>
      </c>
      <c r="H59" s="155" t="n"/>
      <c r="I59" s="155" t="n"/>
      <c r="J59" s="155" t="n"/>
      <c r="K59" s="155" t="n"/>
      <c r="L59" s="155" t="n"/>
      <c r="M59" s="155" t="n"/>
    </row>
    <row r="60" ht="14.4" customFormat="1" customHeight="1" s="145">
      <c r="A60" s="504" t="inlineStr">
        <is>
          <t>Tabel 2: PROIECTII FINANCIARE - CU ADOPTAREA PROIECTULUI DE INVESTITIE</t>
        </is>
      </c>
      <c r="B60" s="552" t="n"/>
      <c r="C60" s="552" t="n"/>
      <c r="D60" s="552" t="n"/>
      <c r="E60" s="552" t="n"/>
      <c r="F60" s="552" t="n"/>
      <c r="G60" s="552" t="n"/>
    </row>
    <row r="61" ht="14.4" customFormat="1" customHeight="1" s="145">
      <c r="A61" s="498" t="inlineStr">
        <is>
          <t>Nr</t>
        </is>
      </c>
      <c r="B61" s="499" t="n"/>
      <c r="C61" s="500" t="inlineStr">
        <is>
          <t>Total</t>
        </is>
      </c>
      <c r="D61" s="262" t="inlineStr">
        <is>
          <t>Implementare si operare</t>
        </is>
      </c>
      <c r="E61" s="552" t="n"/>
      <c r="F61" s="552" t="n"/>
      <c r="G61" s="553" t="n"/>
    </row>
    <row r="62" ht="27" customFormat="1" customHeight="1" s="145">
      <c r="A62" s="558" t="n"/>
      <c r="B62" s="558" t="n"/>
      <c r="C62" s="558" t="n"/>
      <c r="D62" s="401" t="inlineStr">
        <is>
          <t>AN Implementare</t>
        </is>
      </c>
      <c r="E62" s="500" t="inlineStr">
        <is>
          <t>AN 1</t>
        </is>
      </c>
      <c r="F62" s="500" t="inlineStr">
        <is>
          <t>AN 2</t>
        </is>
      </c>
      <c r="G62" s="500" t="inlineStr">
        <is>
          <t>AN 3</t>
        </is>
      </c>
    </row>
    <row r="63" ht="14.4" customFormat="1" customHeight="1" s="145">
      <c r="A63" s="567" t="inlineStr">
        <is>
          <t>INCASARI DIN ACTIVITATEA DE EXPLOATARE  (cu adoptarea investitiei)</t>
        </is>
      </c>
      <c r="B63" s="552" t="n"/>
      <c r="C63" s="552" t="n"/>
      <c r="D63" s="552" t="n"/>
      <c r="E63" s="552" t="n"/>
      <c r="F63" s="552" t="n"/>
      <c r="G63" s="553" t="n"/>
    </row>
    <row r="64" ht="14.4" customFormat="1" customHeight="1" s="145">
      <c r="A64" s="531" t="inlineStr">
        <is>
          <t xml:space="preserve">Venituri din exploatare, incl TVA </t>
        </is>
      </c>
      <c r="B64" s="552" t="n"/>
      <c r="C64" s="552" t="n"/>
      <c r="D64" s="552" t="n"/>
      <c r="E64" s="552" t="n"/>
      <c r="F64" s="552" t="n"/>
      <c r="G64" s="553" t="n"/>
    </row>
    <row r="65" ht="14.4" customFormat="1" customHeight="1" s="145">
      <c r="A65" s="4" t="n">
        <v>1</v>
      </c>
      <c r="B65" s="505" t="inlineStr">
        <is>
          <t>Venituri din vanzari produse</t>
        </is>
      </c>
      <c r="C65" s="204">
        <f>SUM(D65:G65)</f>
        <v/>
      </c>
      <c r="D65" s="202">
        <f>D66*D67</f>
        <v/>
      </c>
      <c r="E65" s="202">
        <f>E66*E67</f>
        <v/>
      </c>
      <c r="F65" s="202">
        <f>F66*F67</f>
        <v/>
      </c>
      <c r="G65" s="202">
        <f>G66*G67</f>
        <v/>
      </c>
    </row>
    <row r="66" ht="14.4" customFormat="1" customHeight="1" s="146">
      <c r="A66" s="5" t="n"/>
      <c r="B66" s="505" t="inlineStr">
        <is>
          <t xml:space="preserve">    cantitate  produse</t>
        </is>
      </c>
      <c r="C66" s="204" t="n"/>
      <c r="D66" s="199" t="n">
        <v>0</v>
      </c>
      <c r="E66" s="199" t="n">
        <v>0</v>
      </c>
      <c r="F66" s="199" t="n">
        <v>0</v>
      </c>
      <c r="G66" s="199" t="n">
        <v>0</v>
      </c>
    </row>
    <row r="67" ht="14.4" customFormat="1" customHeight="1" s="146">
      <c r="A67" s="5" t="n"/>
      <c r="B67" s="505" t="inlineStr">
        <is>
          <t xml:space="preserve">    pret unitar (produs)</t>
        </is>
      </c>
      <c r="C67" s="204" t="n"/>
      <c r="D67" s="199" t="n">
        <v>0</v>
      </c>
      <c r="E67" s="199" t="n">
        <v>0</v>
      </c>
      <c r="F67" s="199" t="n">
        <v>0</v>
      </c>
      <c r="G67" s="199" t="n">
        <v>0</v>
      </c>
      <c r="I67" s="360" t="n"/>
    </row>
    <row r="68" ht="14.4" customFormat="1" customHeight="1" s="145">
      <c r="A68" s="4" t="n">
        <v>2</v>
      </c>
      <c r="B68" s="505" t="inlineStr">
        <is>
          <t>Venituri din prestari servicii</t>
        </is>
      </c>
      <c r="C68" s="204">
        <f>SUM(D68:G68)</f>
        <v/>
      </c>
      <c r="D68" s="202">
        <f>D69*D70</f>
        <v/>
      </c>
      <c r="E68" s="202">
        <f>E69*E70</f>
        <v/>
      </c>
      <c r="F68" s="202">
        <f>F69*F70</f>
        <v/>
      </c>
      <c r="G68" s="202">
        <f>G69*G70</f>
        <v/>
      </c>
    </row>
    <row r="69" ht="14.4" customFormat="1" customHeight="1" s="146">
      <c r="A69" s="5" t="n"/>
      <c r="B69" s="505" t="inlineStr">
        <is>
          <t xml:space="preserve">    cantitatea  de servicii </t>
        </is>
      </c>
      <c r="C69" s="204" t="n"/>
      <c r="D69" s="199" t="n">
        <v>1</v>
      </c>
      <c r="E69" s="199" t="n">
        <v>1</v>
      </c>
      <c r="F69" s="199" t="n">
        <v>1</v>
      </c>
      <c r="G69" s="199" t="n">
        <v>1</v>
      </c>
    </row>
    <row r="70" ht="14.4" customFormat="1" customHeight="1" s="146">
      <c r="A70" s="5" t="n"/>
      <c r="B70" s="505" t="inlineStr">
        <is>
          <t xml:space="preserve">    tariful / unitatea de măsură specifică</t>
        </is>
      </c>
      <c r="C70" s="204" t="n"/>
      <c r="D70" s="199" t="n">
        <v>0</v>
      </c>
      <c r="E70" s="199" t="n">
        <v>0</v>
      </c>
      <c r="F70" s="199">
        <f>E70*1.02</f>
        <v/>
      </c>
      <c r="G70" s="199">
        <f>F70*1.03</f>
        <v/>
      </c>
    </row>
    <row r="71" ht="14.4" customFormat="1" customHeight="1" s="145">
      <c r="A71" s="4" t="n">
        <v>3</v>
      </c>
      <c r="B71" s="505" t="inlineStr">
        <is>
          <t>Venituri din vanzari marfuri</t>
        </is>
      </c>
      <c r="C71" s="204">
        <f>SUM(D71:G71)</f>
        <v/>
      </c>
      <c r="D71" s="202">
        <f>D72*D73</f>
        <v/>
      </c>
      <c r="E71" s="202">
        <f>E72*E73</f>
        <v/>
      </c>
      <c r="F71" s="202">
        <f>F72*F73</f>
        <v/>
      </c>
      <c r="G71" s="202">
        <f>G72*G73</f>
        <v/>
      </c>
    </row>
    <row r="72" ht="14.4" customFormat="1" customHeight="1" s="146">
      <c r="A72" s="5" t="n"/>
      <c r="B72" s="505" t="inlineStr">
        <is>
          <t xml:space="preserve">    cantitate marfuri</t>
        </is>
      </c>
      <c r="C72" s="204" t="n"/>
      <c r="D72" s="199" t="n">
        <v>1</v>
      </c>
      <c r="E72" s="199" t="n">
        <v>1</v>
      </c>
      <c r="F72" s="199" t="n">
        <v>1</v>
      </c>
      <c r="G72" s="199" t="n">
        <v>1</v>
      </c>
    </row>
    <row r="73" ht="14.4" customFormat="1" customHeight="1" s="146">
      <c r="A73" s="5" t="n"/>
      <c r="B73" s="505" t="inlineStr">
        <is>
          <t xml:space="preserve">    pret unitar (marfa)</t>
        </is>
      </c>
      <c r="C73" s="204" t="n"/>
      <c r="D73" s="199">
        <f>D17</f>
        <v/>
      </c>
      <c r="E73" s="199">
        <f>D73*0.02 + D73</f>
        <v/>
      </c>
      <c r="F73" s="199">
        <f>D73*0.02 + E73</f>
        <v/>
      </c>
      <c r="G73" s="199">
        <f>D73*0.02 + F73</f>
        <v/>
      </c>
    </row>
    <row r="74" ht="24" customFormat="1" customHeight="1" s="150">
      <c r="A74" s="229" t="n"/>
      <c r="B74" s="531" t="inlineStr">
        <is>
          <t>Total incasari (intrari de lichiditati) din activitatea de exploatare (CU proiect)</t>
        </is>
      </c>
      <c r="C74" s="204">
        <f>SUM(D74:G74)</f>
        <v/>
      </c>
      <c r="D74" s="204">
        <f>D65+D68+D71</f>
        <v/>
      </c>
      <c r="E74" s="204">
        <f>E65+E68+E71</f>
        <v/>
      </c>
      <c r="F74" s="204">
        <f>F65+F68+F71</f>
        <v/>
      </c>
      <c r="G74" s="204">
        <f>G65+G68+G71</f>
        <v/>
      </c>
    </row>
    <row r="75" ht="14.4" customFormat="1" customHeight="1" s="150">
      <c r="A75" s="567" t="inlineStr">
        <is>
          <t>PLATI DIN ACTIVITATEA DE EXPLOATARE  (cu adoptarea investitiei)</t>
        </is>
      </c>
      <c r="B75" s="552" t="n"/>
      <c r="C75" s="552" t="n"/>
      <c r="D75" s="552" t="n"/>
      <c r="E75" s="552" t="n"/>
      <c r="F75" s="552" t="n"/>
      <c r="G75" s="553" t="n"/>
    </row>
    <row r="76" ht="14.4" customFormat="1" customHeight="1" s="150">
      <c r="A76" s="531" t="inlineStr">
        <is>
          <t xml:space="preserve">Cheltuieli de exploatare, incl TVA </t>
        </is>
      </c>
      <c r="B76" s="552" t="n"/>
      <c r="C76" s="552" t="n"/>
      <c r="D76" s="552" t="n"/>
      <c r="E76" s="552" t="n"/>
      <c r="F76" s="552" t="n"/>
      <c r="G76" s="553" t="n"/>
    </row>
    <row r="77" ht="24" customFormat="1" customHeight="1" s="145">
      <c r="A77" s="4" t="n">
        <v>5</v>
      </c>
      <c r="B77" s="6" t="inlineStr">
        <is>
          <t>Cheltuieli cu materiile prime si cu materialele consumabile</t>
        </is>
      </c>
      <c r="C77" s="204">
        <f>SUM(D77:G77)</f>
        <v/>
      </c>
      <c r="D77" s="202">
        <f>SUM(D78*D79)+SUM(D80*D81)</f>
        <v/>
      </c>
      <c r="E77" s="202">
        <f>SUM(E78*E79)+SUM(E80*E81)</f>
        <v/>
      </c>
      <c r="F77" s="202">
        <f>SUM(F78*F79)+SUM(F80*F81)</f>
        <v/>
      </c>
      <c r="G77" s="202">
        <f>SUM(G78*G79)+SUM(G80*G81)</f>
        <v/>
      </c>
    </row>
    <row r="78" ht="14.4" customFormat="1" customHeight="1" s="150">
      <c r="A78" s="4" t="n"/>
      <c r="B78" s="505" t="inlineStr">
        <is>
          <t xml:space="preserve">    consum de materii prime </t>
        </is>
      </c>
      <c r="C78" s="204" t="n"/>
      <c r="D78" s="199" t="n">
        <v>1</v>
      </c>
      <c r="E78" s="199" t="n">
        <v>1</v>
      </c>
      <c r="F78" s="199" t="n">
        <v>1</v>
      </c>
      <c r="G78" s="199" t="n">
        <v>1</v>
      </c>
    </row>
    <row r="79" ht="14.4" customFormat="1" customHeight="1" s="150">
      <c r="A79" s="4" t="n"/>
      <c r="B79" s="505" t="inlineStr">
        <is>
          <t xml:space="preserve">    pret unitar materii prime</t>
        </is>
      </c>
      <c r="C79" s="204" t="n"/>
      <c r="D79" s="199">
        <f>D23</f>
        <v/>
      </c>
      <c r="E79" s="199">
        <f>D79*0.002 + D79</f>
        <v/>
      </c>
      <c r="F79" s="199">
        <f>D79*0.002 +E79</f>
        <v/>
      </c>
      <c r="G79" s="199">
        <f>D79*0.002 +F79</f>
        <v/>
      </c>
    </row>
    <row r="80" ht="14.4" customFormat="1" customHeight="1" s="150">
      <c r="A80" s="4" t="n"/>
      <c r="B80" s="505" t="inlineStr">
        <is>
          <t xml:space="preserve">    consum de materiale consumabile</t>
        </is>
      </c>
      <c r="C80" s="204" t="n"/>
      <c r="D80" s="199" t="n">
        <v>1</v>
      </c>
      <c r="E80" s="199" t="n">
        <v>1</v>
      </c>
      <c r="F80" s="199" t="n">
        <v>1</v>
      </c>
      <c r="G80" s="199" t="n">
        <v>1</v>
      </c>
    </row>
    <row r="81" ht="14.4" customFormat="1" customHeight="1" s="150">
      <c r="A81" s="4" t="n"/>
      <c r="B81" s="505" t="inlineStr">
        <is>
          <t xml:space="preserve">    pret unitar materiale consumabile</t>
        </is>
      </c>
      <c r="C81" s="204" t="n"/>
      <c r="D81" s="199">
        <f>'1B-ContPP'!D14*1.19*1.1</f>
        <v/>
      </c>
      <c r="E81" s="199">
        <f>D81*1.05</f>
        <v/>
      </c>
      <c r="F81" s="199">
        <f>E81*1.05</f>
        <v/>
      </c>
      <c r="G81" s="199">
        <f>F81*1.05</f>
        <v/>
      </c>
    </row>
    <row r="82" ht="14.4" customFormat="1" customHeight="1" s="145">
      <c r="A82" s="4" t="n">
        <v>6</v>
      </c>
      <c r="B82" s="6" t="inlineStr">
        <is>
          <t xml:space="preserve">Cheltuieli privind marfurile </t>
        </is>
      </c>
      <c r="C82" s="204">
        <f>SUM(D82:G82)</f>
        <v/>
      </c>
      <c r="D82" s="202">
        <f>D83*D84</f>
        <v/>
      </c>
      <c r="E82" s="202">
        <f>E83*E84</f>
        <v/>
      </c>
      <c r="F82" s="202">
        <f>F83*F84</f>
        <v/>
      </c>
      <c r="G82" s="202">
        <f>G83*G84</f>
        <v/>
      </c>
    </row>
    <row r="83" ht="14.4" customFormat="1" customHeight="1" s="150">
      <c r="A83" s="4" t="n"/>
      <c r="B83" s="505" t="inlineStr">
        <is>
          <t xml:space="preserve">    cantitate marfuri</t>
        </is>
      </c>
      <c r="C83" s="204" t="n"/>
      <c r="D83" s="199" t="n">
        <v>1</v>
      </c>
      <c r="E83" s="199" t="n">
        <v>1</v>
      </c>
      <c r="F83" s="199" t="n">
        <v>1</v>
      </c>
      <c r="G83" s="199" t="n">
        <v>1</v>
      </c>
    </row>
    <row r="84" ht="14.4" customFormat="1" customHeight="1" s="150">
      <c r="A84" s="4" t="n"/>
      <c r="B84" s="505" t="inlineStr">
        <is>
          <t xml:space="preserve">    pret unitar marfuri</t>
        </is>
      </c>
      <c r="C84" s="204" t="n"/>
      <c r="D84" s="199">
        <f>D28</f>
        <v/>
      </c>
      <c r="E84" s="199">
        <f>D84*0.005 + D84</f>
        <v/>
      </c>
      <c r="F84" s="199">
        <f>D84*0.005+E84</f>
        <v/>
      </c>
      <c r="G84" s="199">
        <f>D84*0.005+F84</f>
        <v/>
      </c>
    </row>
    <row r="85" ht="24" customFormat="1" customHeight="1" s="150">
      <c r="A85" s="4" t="n">
        <v>7</v>
      </c>
      <c r="B85" s="505" t="inlineStr">
        <is>
          <t>Alte cheltuieli materiale (inclusiv cheltuieli cu prestatii externe)</t>
        </is>
      </c>
      <c r="C85" s="204">
        <f>SUM(D85:G85)</f>
        <v/>
      </c>
      <c r="D85" s="199">
        <f>D29 </f>
        <v/>
      </c>
      <c r="E85" s="199">
        <f>D85*0.002 + D85</f>
        <v/>
      </c>
      <c r="F85" s="199">
        <f>D85*0.002 + E85</f>
        <v/>
      </c>
      <c r="G85" s="199">
        <f>D85*0.002 +F85</f>
        <v/>
      </c>
    </row>
    <row r="86" ht="14.4" customFormat="1" customHeight="1" s="150">
      <c r="A86" s="4" t="n">
        <v>8</v>
      </c>
      <c r="B86" s="505" t="inlineStr">
        <is>
          <t xml:space="preserve">Cheltuieli cu energia </t>
        </is>
      </c>
      <c r="C86" s="204">
        <f>SUM(D86:G86)</f>
        <v/>
      </c>
      <c r="D86" s="202">
        <f>D87*D88</f>
        <v/>
      </c>
      <c r="E86" s="202">
        <f>E87*E88</f>
        <v/>
      </c>
      <c r="F86" s="202">
        <f>F87*F88</f>
        <v/>
      </c>
      <c r="G86" s="202">
        <f>G87*G88</f>
        <v/>
      </c>
    </row>
    <row r="87" ht="24" customFormat="1" customHeight="1" s="150">
      <c r="A87" s="4" t="n"/>
      <c r="B87" s="505" t="inlineStr">
        <is>
          <t xml:space="preserve">    cantitatea consumatã (unitãți de mãsurã specifice)</t>
        </is>
      </c>
      <c r="C87" s="204" t="n"/>
      <c r="D87" s="199" t="n">
        <v>1</v>
      </c>
      <c r="E87" s="199" t="n">
        <v>1</v>
      </c>
      <c r="F87" s="199" t="n">
        <v>1</v>
      </c>
      <c r="G87" s="199" t="n">
        <v>1</v>
      </c>
    </row>
    <row r="88" ht="14.4" customFormat="1" customHeight="1" s="150">
      <c r="A88" s="4" t="n"/>
      <c r="B88" s="505" t="inlineStr">
        <is>
          <t xml:space="preserve">    tariful de furnizare unitar</t>
        </is>
      </c>
      <c r="C88" s="204" t="n"/>
      <c r="D88" s="199">
        <f>D32</f>
        <v/>
      </c>
      <c r="E88" s="199">
        <f>D88*0.002 +D88</f>
        <v/>
      </c>
      <c r="F88" s="199">
        <f>D88*0.002 + E88</f>
        <v/>
      </c>
      <c r="G88" s="199">
        <f>D88*0.002 +F88</f>
        <v/>
      </c>
    </row>
    <row r="89" ht="14.4" customFormat="1" customHeight="1" s="150">
      <c r="A89" s="4" t="n">
        <v>9</v>
      </c>
      <c r="B89" s="505" t="inlineStr">
        <is>
          <t>Cheltuieli cu apa</t>
        </is>
      </c>
      <c r="C89" s="204">
        <f>SUM(D89:G89)</f>
        <v/>
      </c>
      <c r="D89" s="202">
        <f>D90*D91</f>
        <v/>
      </c>
      <c r="E89" s="202">
        <f>E90*E91</f>
        <v/>
      </c>
      <c r="F89" s="202">
        <f>F90*F91</f>
        <v/>
      </c>
      <c r="G89" s="202">
        <f>G90*G91</f>
        <v/>
      </c>
    </row>
    <row r="90" ht="24" customFormat="1" customHeight="1" s="150">
      <c r="A90" s="4" t="n"/>
      <c r="B90" s="505" t="inlineStr">
        <is>
          <t xml:space="preserve">    cantitatea consumatã (unitãți de mãsurã specifice)</t>
        </is>
      </c>
      <c r="C90" s="204" t="n"/>
      <c r="D90" s="199" t="n">
        <v>0</v>
      </c>
      <c r="E90" s="199" t="n">
        <v>0</v>
      </c>
      <c r="F90" s="199" t="n">
        <v>0</v>
      </c>
      <c r="G90" s="199" t="n">
        <v>0</v>
      </c>
    </row>
    <row r="91" ht="14.4" customFormat="1" customHeight="1" s="150">
      <c r="A91" s="4" t="n"/>
      <c r="B91" s="505" t="inlineStr">
        <is>
          <t xml:space="preserve">    tariful de furnizare unitar</t>
        </is>
      </c>
      <c r="C91" s="204" t="n"/>
      <c r="D91" s="199" t="n">
        <v>0</v>
      </c>
      <c r="E91" s="199" t="n">
        <v>0</v>
      </c>
      <c r="F91" s="199" t="n">
        <v>0</v>
      </c>
      <c r="G91" s="199" t="n">
        <v>0</v>
      </c>
    </row>
    <row r="92" ht="14.4" customFormat="1" customHeight="1" s="150">
      <c r="A92" s="4" t="n">
        <v>10</v>
      </c>
      <c r="B92" s="505" t="inlineStr">
        <is>
          <t>Alte cheltuieli din afara (cu utilitati)</t>
        </is>
      </c>
      <c r="C92" s="204">
        <f>SUM(D92:G92)</f>
        <v/>
      </c>
      <c r="D92" s="202">
        <f>D93*D94</f>
        <v/>
      </c>
      <c r="E92" s="202">
        <f>E93*E94</f>
        <v/>
      </c>
      <c r="F92" s="202">
        <f>F93*F94</f>
        <v/>
      </c>
      <c r="G92" s="202">
        <f>G93*G94</f>
        <v/>
      </c>
    </row>
    <row r="93" ht="24" customFormat="1" customHeight="1" s="150">
      <c r="A93" s="4" t="n"/>
      <c r="B93" s="505" t="inlineStr">
        <is>
          <t xml:space="preserve">    cantitatea consumatã (unitãți de mãsurã specifice)</t>
        </is>
      </c>
      <c r="C93" s="204" t="n"/>
      <c r="D93" s="199" t="n">
        <v>0</v>
      </c>
      <c r="E93" s="199" t="n">
        <v>0</v>
      </c>
      <c r="F93" s="199" t="n">
        <v>0</v>
      </c>
      <c r="G93" s="199" t="n">
        <v>0</v>
      </c>
    </row>
    <row r="94" ht="14.4" customFormat="1" customHeight="1" s="150">
      <c r="A94" s="4" t="n"/>
      <c r="B94" s="505" t="inlineStr">
        <is>
          <t xml:space="preserve">    tariful de furnizare unitar</t>
        </is>
      </c>
      <c r="C94" s="204" t="n"/>
      <c r="D94" s="199" t="n">
        <v>0</v>
      </c>
      <c r="E94" s="199" t="n">
        <v>0</v>
      </c>
      <c r="F94" s="199" t="n">
        <v>0</v>
      </c>
      <c r="G94" s="199" t="n">
        <v>0</v>
      </c>
    </row>
    <row r="95" ht="14.4" customFormat="1" customHeight="1" s="145">
      <c r="A95" s="4" t="n"/>
      <c r="B95" s="531" t="inlineStr">
        <is>
          <t>Total cheltuieli materiale</t>
        </is>
      </c>
      <c r="C95" s="204">
        <f>SUM(D95:G95)</f>
        <v/>
      </c>
      <c r="D95" s="204">
        <f>D77+D82+D85+D86+D89+D92</f>
        <v/>
      </c>
      <c r="E95" s="204">
        <f>E77+E82+E85+E86+E89+E92</f>
        <v/>
      </c>
      <c r="F95" s="204">
        <f>F77+F82+F85+F86+F89+F92</f>
        <v/>
      </c>
      <c r="G95" s="204">
        <f>G77+G82+G85+G86+G89+G92</f>
        <v/>
      </c>
    </row>
    <row r="96" ht="14.4" customFormat="1" customHeight="1" s="145">
      <c r="A96" s="4" t="n">
        <v>11</v>
      </c>
      <c r="B96" s="505" t="inlineStr">
        <is>
          <t>Cheltuieli cu personalul angajat</t>
        </is>
      </c>
      <c r="C96" s="204">
        <f>SUM(D96:G96)</f>
        <v/>
      </c>
      <c r="D96" s="204">
        <f>SUM(D97*D98)*D99</f>
        <v/>
      </c>
      <c r="E96" s="204">
        <f>SUM(E97*E98)*E99</f>
        <v/>
      </c>
      <c r="F96" s="204">
        <f>SUM(F97*F98)*F99</f>
        <v/>
      </c>
      <c r="G96" s="204">
        <f>SUM(G97*G98)*G99</f>
        <v/>
      </c>
    </row>
    <row r="97" ht="14.4" customFormat="1" customHeight="1" s="145">
      <c r="A97" s="4" t="n"/>
      <c r="B97" s="505" t="inlineStr">
        <is>
          <t xml:space="preserve">    număr de angajați</t>
        </is>
      </c>
      <c r="C97" s="204" t="n"/>
      <c r="D97" s="199" t="n">
        <v>1</v>
      </c>
      <c r="E97" s="199" t="n">
        <v>1</v>
      </c>
      <c r="F97" s="199" t="n">
        <v>1</v>
      </c>
      <c r="G97" s="199" t="n">
        <v>1</v>
      </c>
    </row>
    <row r="98" ht="14.4" customFormat="1" customHeight="1" s="145">
      <c r="A98" s="4" t="n"/>
      <c r="B98" s="505" t="inlineStr">
        <is>
          <t xml:space="preserve">    salariul de bază prognozat/luna</t>
        </is>
      </c>
      <c r="C98" s="204" t="n"/>
      <c r="D98" s="199">
        <f>'1B-ContPP'!C19</f>
        <v/>
      </c>
      <c r="E98" s="199">
        <f>D98*0.010 + D98</f>
        <v/>
      </c>
      <c r="F98" s="199">
        <f>D98*0.010 + E98</f>
        <v/>
      </c>
      <c r="G98" s="199">
        <f>D98*0.010 + F98</f>
        <v/>
      </c>
    </row>
    <row r="99" ht="14.4" customFormat="1" customHeight="1" s="145">
      <c r="A99" s="4" t="n"/>
      <c r="B99" s="505" t="inlineStr">
        <is>
          <t xml:space="preserve">    numar de luni / an </t>
        </is>
      </c>
      <c r="C99" s="204" t="n"/>
      <c r="D99" s="199" t="n">
        <v>1</v>
      </c>
      <c r="E99" s="199" t="n">
        <v>1</v>
      </c>
      <c r="F99" s="199" t="n">
        <v>1</v>
      </c>
      <c r="G99" s="199" t="n">
        <v>1</v>
      </c>
    </row>
    <row r="100" ht="14.4" customFormat="1" customHeight="1" s="145">
      <c r="A100" s="7" t="n">
        <v>12</v>
      </c>
      <c r="B100" s="6" t="inlineStr">
        <is>
          <t xml:space="preserve">Cheltuieli cu asigurarile si protectia sociala </t>
        </is>
      </c>
      <c r="C100" s="204" t="n"/>
      <c r="D100" s="199">
        <f>D96*2.25%</f>
        <v/>
      </c>
      <c r="E100" s="199">
        <f>E96*2.25%</f>
        <v/>
      </c>
      <c r="F100" s="199">
        <f>F96*2.25%</f>
        <v/>
      </c>
      <c r="G100" s="199">
        <f>G96*2.25%</f>
        <v/>
      </c>
    </row>
    <row r="101" ht="14.4" customFormat="1" customHeight="1" s="150">
      <c r="A101" s="4" t="n"/>
      <c r="B101" s="531" t="inlineStr">
        <is>
          <t>Cheltuieli de personal</t>
        </is>
      </c>
      <c r="C101" s="204">
        <f>SUM(D101:G101)</f>
        <v/>
      </c>
      <c r="D101" s="333">
        <f>D100+D96</f>
        <v/>
      </c>
      <c r="E101" s="333">
        <f>E100+E96</f>
        <v/>
      </c>
      <c r="F101" s="333">
        <f>F100+F96</f>
        <v/>
      </c>
      <c r="G101" s="333">
        <f>G100+G96</f>
        <v/>
      </c>
    </row>
    <row r="102" ht="36" customFormat="1" customHeight="1" s="150">
      <c r="A102" s="4" t="n">
        <v>13</v>
      </c>
      <c r="B102" s="6" t="inlineStr">
        <is>
          <t>Alte cheltuieli de exploatare (prestatii externe, alte impozite, taxe si varsaminte asimilate, alte cheltuieli), din care:</t>
        </is>
      </c>
      <c r="C102" s="204">
        <f>SUM(D102:G102)</f>
        <v/>
      </c>
      <c r="D102" s="259">
        <f>D46</f>
        <v/>
      </c>
      <c r="E102" s="259">
        <f>D102*0.002 + D102</f>
        <v/>
      </c>
      <c r="F102" s="259">
        <f>D102*0.002 + E102</f>
        <v/>
      </c>
      <c r="G102" s="259">
        <f>D102*0.002 +F102</f>
        <v/>
      </c>
    </row>
    <row r="103" ht="24" customFormat="1" customHeight="1" s="150">
      <c r="A103" s="4" t="n"/>
      <c r="B103" s="505" t="inlineStr">
        <is>
          <t xml:space="preserve">        - Cheltuieli de intretinere si reparatii capitale</t>
        </is>
      </c>
      <c r="C103" s="204">
        <f>SUM(D103:G103)</f>
        <v/>
      </c>
      <c r="D103" s="333">
        <f>D104*D105</f>
        <v/>
      </c>
      <c r="E103" s="333">
        <f>E104*E105</f>
        <v/>
      </c>
      <c r="F103" s="333">
        <f>F104*F105</f>
        <v/>
      </c>
      <c r="G103" s="333">
        <f>G104*G105</f>
        <v/>
      </c>
    </row>
    <row r="104" ht="14.4" customFormat="1" customHeight="1" s="150">
      <c r="A104" s="4" t="n"/>
      <c r="B104" s="505" t="inlineStr">
        <is>
          <t xml:space="preserve">    cantitatea necesară de servicii mentenanța</t>
        </is>
      </c>
      <c r="C104" s="204" t="n"/>
      <c r="D104" s="259" t="n">
        <v>1</v>
      </c>
      <c r="E104" s="259" t="n">
        <v>1</v>
      </c>
      <c r="F104" s="259" t="n">
        <v>1</v>
      </c>
      <c r="G104" s="259" t="n">
        <v>1</v>
      </c>
    </row>
    <row r="105" ht="14.4" customFormat="1" customHeight="1" s="150">
      <c r="A105" s="4" t="n"/>
      <c r="B105" s="505" t="inlineStr">
        <is>
          <t xml:space="preserve">    tariful / unitatea de măsură specifică</t>
        </is>
      </c>
      <c r="C105" s="204" t="n"/>
      <c r="D105" s="259" t="n">
        <v>0</v>
      </c>
      <c r="E105" s="259">
        <f>D105*0.02 + D105</f>
        <v/>
      </c>
      <c r="F105" s="259">
        <f>D105*0.03 + E105</f>
        <v/>
      </c>
      <c r="G105" s="259">
        <f>D105*0.04 + F105</f>
        <v/>
      </c>
    </row>
    <row r="106" ht="36" customFormat="1" customHeight="1" s="155">
      <c r="A106" s="7" t="n">
        <v>14</v>
      </c>
      <c r="B106" s="531" t="inlineStr">
        <is>
          <t>Cheltuieli financiare (Cheltuieli privind dobanzile la imprumuturile contractate pentru activitatea aferenta investitiei)</t>
        </is>
      </c>
      <c r="C106" s="204">
        <f>SUM(D106:G106)</f>
        <v/>
      </c>
      <c r="D106" s="259">
        <f>D50</f>
        <v/>
      </c>
      <c r="E106" s="259">
        <f>D106*0.01 + D106</f>
        <v/>
      </c>
      <c r="F106" s="259">
        <f>D106*0.01 +E106</f>
        <v/>
      </c>
      <c r="G106" s="259">
        <f>D106*0.01 +F106</f>
        <v/>
      </c>
    </row>
    <row r="107" ht="24" customFormat="1" customHeight="1" s="155">
      <c r="A107" s="7" t="n"/>
      <c r="B107" s="531" t="inlineStr">
        <is>
          <t>Total plati (iesiri de lichiditati) din activitatea de exploatare  (CU proiect)</t>
        </is>
      </c>
      <c r="C107" s="204">
        <f>SUM(D107:G107)</f>
        <v/>
      </c>
      <c r="D107" s="202">
        <f>D95+D101+D102+D106</f>
        <v/>
      </c>
      <c r="E107" s="202">
        <f>E95+E101+E102+E106</f>
        <v/>
      </c>
      <c r="F107" s="202">
        <f>F95+F101+F102+F106</f>
        <v/>
      </c>
      <c r="G107" s="202">
        <f>G95+G101+G102+G106</f>
        <v/>
      </c>
    </row>
    <row r="108" ht="24" customFormat="1" customHeight="1" s="155">
      <c r="A108" s="7" t="n"/>
      <c r="B108" s="531" t="inlineStr">
        <is>
          <t>Flux de lichiditati brut din activitatea de  exploatare  (CU proiect)</t>
        </is>
      </c>
      <c r="C108" s="204">
        <f>SUM(D108:G108)</f>
        <v/>
      </c>
      <c r="D108" s="202">
        <f>D74-D107</f>
        <v/>
      </c>
      <c r="E108" s="202">
        <f>E74-E107</f>
        <v/>
      </c>
      <c r="F108" s="202">
        <f>F74-F107</f>
        <v/>
      </c>
      <c r="G108" s="202">
        <f>G74-G107</f>
        <v/>
      </c>
    </row>
    <row r="109" customFormat="1" s="155">
      <c r="A109" s="7" t="n">
        <v>15</v>
      </c>
      <c r="B109" s="8" t="inlineStr">
        <is>
          <t>Plati TVA</t>
        </is>
      </c>
      <c r="C109" s="204">
        <f>SUM(D109:G109)</f>
        <v/>
      </c>
      <c r="D109" s="199">
        <f>D74*0.19/1.19 -(D79+D81+D84+D85+D88+D91+D94+D102)*0.19/1.19</f>
        <v/>
      </c>
      <c r="E109" s="199">
        <f>E74*0.19/1.19 -(E79+E81+E84+E85+E88+E91+E94+E102)*0.19/1.19</f>
        <v/>
      </c>
      <c r="F109" s="199">
        <f>F74*0.19/1.19 -(F79+F81+F84+F85+F88+F91+F94+F102)*0.19/1.19</f>
        <v/>
      </c>
      <c r="G109" s="199">
        <f>G74*0.19/1.19 -(G79+G81+G84+F85+G88+G91+G94+G102)*0.19/1.19</f>
        <v/>
      </c>
    </row>
    <row r="110" customFormat="1" s="155">
      <c r="A110" s="7" t="n">
        <v>16</v>
      </c>
      <c r="B110" s="8" t="inlineStr">
        <is>
          <t>Rambursari TVA</t>
        </is>
      </c>
      <c r="C110" s="204">
        <f>SUM(D110:G110)</f>
        <v/>
      </c>
      <c r="D110" s="199" t="n"/>
      <c r="E110" s="199" t="n">
        <v>0</v>
      </c>
      <c r="F110" s="199" t="n">
        <v>0</v>
      </c>
      <c r="G110" s="199" t="n">
        <v>0</v>
      </c>
    </row>
    <row r="111" customFormat="1" s="155">
      <c r="A111" s="7" t="n">
        <v>17</v>
      </c>
      <c r="B111" s="8" t="inlineStr">
        <is>
          <t>Impozit pe profit/venit</t>
        </is>
      </c>
      <c r="C111" s="204">
        <f>SUM(D111:G111)</f>
        <v/>
      </c>
      <c r="D111" s="199">
        <f>(D74/1.19) *(1/100)</f>
        <v/>
      </c>
      <c r="E111" s="199">
        <f>(E74/1.19)*(1/100)</f>
        <v/>
      </c>
      <c r="F111" s="199">
        <f>(F74/1.19)*(1/100)</f>
        <v/>
      </c>
      <c r="G111" s="199">
        <f>(G74/1.19)*(1/100)</f>
        <v/>
      </c>
    </row>
    <row r="112" ht="24" customFormat="1" customHeight="1" s="155">
      <c r="A112" s="7" t="n"/>
      <c r="B112" s="531" t="inlineStr">
        <is>
          <t>Plati/incasari pentru impozite si taxe   (CU proiect)</t>
        </is>
      </c>
      <c r="C112" s="204">
        <f>SUM(D112:G112)</f>
        <v/>
      </c>
      <c r="D112" s="202">
        <f>D109-D110+D111</f>
        <v/>
      </c>
      <c r="E112" s="202">
        <f>E109-E110+E111</f>
        <v/>
      </c>
      <c r="F112" s="202">
        <f>F109-F110+F111</f>
        <v/>
      </c>
      <c r="G112" s="202">
        <f>G109-G110+G111</f>
        <v/>
      </c>
    </row>
    <row r="113" ht="24" customFormat="1" customHeight="1" s="150">
      <c r="A113" s="33" t="n"/>
      <c r="B113" s="531" t="inlineStr">
        <is>
          <t>Flux de lichiditati net din activitatea de  exploatare (CU proiect)</t>
        </is>
      </c>
      <c r="C113" s="204">
        <f>SUM(D113:G113)</f>
        <v/>
      </c>
      <c r="D113" s="204">
        <f>D108-D112</f>
        <v/>
      </c>
      <c r="E113" s="204">
        <f>E108-E112</f>
        <v/>
      </c>
      <c r="F113" s="204">
        <f>F108-F112</f>
        <v/>
      </c>
      <c r="G113" s="204">
        <f>G108-G112</f>
        <v/>
      </c>
    </row>
    <row r="114" ht="14.4" customFormat="1" customHeight="1" s="150">
      <c r="A114" s="10" t="n"/>
      <c r="B114" s="222" t="n"/>
      <c r="C114" s="207" t="n"/>
      <c r="D114" s="207" t="n"/>
      <c r="E114" s="207" t="n"/>
      <c r="F114" s="207" t="n"/>
      <c r="G114" s="207" t="n"/>
      <c r="H114" s="207" t="n"/>
      <c r="I114" s="207" t="n"/>
      <c r="J114" s="207" t="n"/>
      <c r="K114" s="207" t="n"/>
      <c r="L114" s="207" t="n"/>
      <c r="M114" s="207" t="n"/>
    </row>
    <row r="115" ht="13.2" customFormat="1" customHeight="1" s="231">
      <c r="A115" s="497" t="inlineStr">
        <is>
          <t>ACTIVITATEA DE FINANTARE</t>
        </is>
      </c>
      <c r="H115" s="230" t="n"/>
      <c r="I115" s="230" t="n"/>
      <c r="J115" s="230" t="n"/>
      <c r="K115" s="230" t="n"/>
      <c r="L115" s="230" t="n"/>
      <c r="M115" s="230" t="n"/>
    </row>
    <row r="116" ht="36" customHeight="1" s="350">
      <c r="A116" s="402" t="inlineStr">
        <is>
          <t>INCASARI DIN ACTIVITATEA DE FINANTARE</t>
        </is>
      </c>
      <c r="B116" s="232" t="n"/>
      <c r="C116" s="260" t="inlineStr">
        <is>
          <t>Total</t>
        </is>
      </c>
      <c r="D116" s="401" t="inlineStr">
        <is>
          <t>AN Implementare</t>
        </is>
      </c>
      <c r="E116" s="230" t="n"/>
      <c r="F116" s="230" t="n"/>
      <c r="G116" s="230" t="n"/>
      <c r="H116" s="230" t="n"/>
      <c r="I116" s="230" t="n"/>
      <c r="J116" s="230" t="n"/>
      <c r="K116" s="155" t="n"/>
      <c r="L116" s="155" t="n"/>
      <c r="M116" s="155" t="n"/>
    </row>
    <row r="117" ht="24" customFormat="1" customHeight="1" s="155">
      <c r="A117" s="11" t="n">
        <v>19</v>
      </c>
      <c r="B117" s="8" t="inlineStr">
        <is>
          <t>Aport la capitalul societatii  (imprumuturi de la actionari/asociati)</t>
        </is>
      </c>
      <c r="C117" s="204">
        <f>SUM(D117:D117)</f>
        <v/>
      </c>
      <c r="D117" s="202">
        <f>'2B-Investitie'!E27</f>
        <v/>
      </c>
      <c r="E117" s="362" t="n"/>
      <c r="F117" s="362" t="n"/>
      <c r="G117" s="362" t="n"/>
      <c r="H117" s="362" t="n"/>
      <c r="I117" s="362" t="n"/>
      <c r="J117" s="362" t="n"/>
    </row>
    <row r="118" customFormat="1" s="155">
      <c r="A118" s="11" t="n">
        <v>20</v>
      </c>
      <c r="B118" s="8" t="inlineStr">
        <is>
          <t>Credite pentru realizarea investiției</t>
        </is>
      </c>
      <c r="C118" s="204">
        <f>SUM(D118:D118)</f>
        <v/>
      </c>
      <c r="D118" s="202">
        <f>'2B-Investitie'!E28</f>
        <v/>
      </c>
      <c r="E118" s="362" t="n"/>
      <c r="F118" s="362" t="n"/>
      <c r="G118" s="362" t="n"/>
      <c r="H118" s="362" t="n"/>
      <c r="I118" s="362" t="n"/>
      <c r="J118" s="362" t="n"/>
    </row>
    <row r="119" customFormat="1" s="155">
      <c r="A119" s="11" t="n">
        <v>21</v>
      </c>
      <c r="B119" s="8" t="inlineStr">
        <is>
          <t>Ajutor nerambursabil</t>
        </is>
      </c>
      <c r="C119" s="204">
        <f>SUM(D119:D119)</f>
        <v/>
      </c>
      <c r="D119" s="202">
        <f>'2B-Investitie'!E29</f>
        <v/>
      </c>
      <c r="E119" s="362" t="n"/>
      <c r="F119" s="362" t="n"/>
      <c r="G119" s="362" t="n"/>
      <c r="H119" s="362" t="n"/>
      <c r="I119" s="362" t="n"/>
      <c r="J119" s="362" t="n"/>
    </row>
    <row r="120" ht="24" customFormat="1" customHeight="1" s="231">
      <c r="A120" s="226" t="n"/>
      <c r="B120" s="227" t="inlineStr">
        <is>
          <t>Total incasari (intrari de lichiditati) din activitatea de finantare</t>
        </is>
      </c>
      <c r="C120" s="228">
        <f>SUM(D120:D120)</f>
        <v/>
      </c>
      <c r="D120" s="228">
        <f>SUM(D117:D119)</f>
        <v/>
      </c>
      <c r="E120" s="207" t="n"/>
      <c r="F120" s="207" t="n"/>
      <c r="G120" s="207" t="n"/>
      <c r="H120" s="207" t="n"/>
      <c r="I120" s="207" t="n"/>
      <c r="J120" s="207" t="n"/>
    </row>
    <row r="121" ht="36" customFormat="1" customHeight="1" s="155">
      <c r="A121" s="232" t="inlineStr">
        <is>
          <t>PLATI DIN ACTIVITATEA DE FINANTARE</t>
        </is>
      </c>
      <c r="B121" s="232" t="n"/>
      <c r="C121" s="260" t="inlineStr">
        <is>
          <t>Total</t>
        </is>
      </c>
      <c r="D121" s="401" t="inlineStr">
        <is>
          <t>AN Implementare</t>
        </is>
      </c>
      <c r="E121" s="500" t="inlineStr">
        <is>
          <t>AN 1</t>
        </is>
      </c>
      <c r="F121" s="500" t="inlineStr">
        <is>
          <t>AN 2</t>
        </is>
      </c>
      <c r="G121" s="500" t="inlineStr">
        <is>
          <t>AN 3</t>
        </is>
      </c>
    </row>
    <row r="122" customFormat="1" s="155">
      <c r="A122" s="11" t="n">
        <v>22</v>
      </c>
      <c r="B122" s="8" t="inlineStr">
        <is>
          <t xml:space="preserve">Rambursari de Credite, din care:  </t>
        </is>
      </c>
      <c r="C122" s="204">
        <f>SUM(D122:D122)</f>
        <v/>
      </c>
      <c r="D122" s="351">
        <f>'2B-Investitie'!D37</f>
        <v/>
      </c>
      <c r="E122" s="351">
        <f>'2B-Investitie'!E37</f>
        <v/>
      </c>
      <c r="F122" s="351">
        <f>'2B-Investitie'!F37</f>
        <v/>
      </c>
      <c r="G122" s="351">
        <f>'2B-Investitie'!G37</f>
        <v/>
      </c>
    </row>
    <row r="123" customFormat="1" s="155">
      <c r="A123" s="11" t="n"/>
      <c r="B123" s="505" t="inlineStr">
        <is>
          <t>Rate la imprumut - cofinantare la proiect</t>
        </is>
      </c>
      <c r="C123" s="204">
        <f>SUM(D123:D123)</f>
        <v/>
      </c>
      <c r="D123" s="202">
        <f>'2B-Investitie'!D35</f>
        <v/>
      </c>
      <c r="E123" s="202">
        <f>'2B-Investitie'!E35</f>
        <v/>
      </c>
      <c r="F123" s="202">
        <f>'2B-Investitie'!F35</f>
        <v/>
      </c>
      <c r="G123" s="202">
        <f>'2B-Investitie'!G35</f>
        <v/>
      </c>
    </row>
    <row r="124" ht="24" customFormat="1" customHeight="1" s="231">
      <c r="A124" s="12" t="n"/>
      <c r="B124" s="17" t="inlineStr">
        <is>
          <t>Total plati (iesiri de lichiditati) din activitatea finantare</t>
        </is>
      </c>
      <c r="C124" s="204">
        <f>SUM(D124:D124)</f>
        <v/>
      </c>
      <c r="D124" s="204">
        <f>D122</f>
        <v/>
      </c>
      <c r="E124" s="204">
        <f>E122</f>
        <v/>
      </c>
      <c r="F124" s="204">
        <f>F122</f>
        <v/>
      </c>
      <c r="G124" s="204">
        <f>G122</f>
        <v/>
      </c>
    </row>
    <row r="125" ht="14.4" customFormat="1" customHeight="1" s="150">
      <c r="A125" s="33" t="n"/>
      <c r="B125" s="531" t="inlineStr">
        <is>
          <t>Flux de lichiditati din activitatea de  finantare</t>
        </is>
      </c>
      <c r="C125" s="204">
        <f>SUM(D125:D125)</f>
        <v/>
      </c>
      <c r="D125" s="204">
        <f>D120-D124</f>
        <v/>
      </c>
      <c r="E125" s="204">
        <f>E120-E124</f>
        <v/>
      </c>
      <c r="F125" s="204">
        <f>F120-F124</f>
        <v/>
      </c>
      <c r="G125" s="204">
        <f>G120-G124</f>
        <v/>
      </c>
    </row>
    <row r="126" ht="14.4" customFormat="1" customHeight="1" s="150">
      <c r="A126" s="10" t="n"/>
      <c r="B126" s="222" t="n"/>
      <c r="C126" s="207" t="n"/>
      <c r="D126" s="207" t="n"/>
    </row>
    <row r="127" ht="27" customFormat="1" customHeight="1" s="231">
      <c r="A127" s="531" t="inlineStr">
        <is>
          <t>ACTIVITATEA DE INVESTITII (inclusiv  reinvestirile din perioada post implementare)</t>
        </is>
      </c>
      <c r="B127" s="553" t="n"/>
      <c r="C127" s="260" t="inlineStr">
        <is>
          <t>Total</t>
        </is>
      </c>
      <c r="D127" s="401" t="inlineStr">
        <is>
          <t>AN Implementare</t>
        </is>
      </c>
      <c r="E127" s="500" t="inlineStr">
        <is>
          <t>AN 1</t>
        </is>
      </c>
      <c r="F127" s="500" t="inlineStr">
        <is>
          <t>AN 2</t>
        </is>
      </c>
      <c r="G127" s="500" t="inlineStr">
        <is>
          <t>AN 3</t>
        </is>
      </c>
    </row>
    <row r="128" customFormat="1" s="155">
      <c r="A128" s="11" t="n">
        <v>23</v>
      </c>
      <c r="B128" s="8" t="inlineStr">
        <is>
          <t xml:space="preserve">Achizitii de active fixe corporale, incl TVA </t>
        </is>
      </c>
      <c r="C128" s="204">
        <f>SUM(D128:D128)</f>
        <v/>
      </c>
      <c r="D128" s="199" t="n"/>
      <c r="E128" s="199" t="n">
        <v>0</v>
      </c>
      <c r="F128" s="199" t="n">
        <v>0</v>
      </c>
      <c r="G128" s="199" t="n">
        <v>0</v>
      </c>
    </row>
    <row r="129" customFormat="1" s="155">
      <c r="A129" s="11" t="n">
        <v>24</v>
      </c>
      <c r="B129" s="8" t="inlineStr">
        <is>
          <t>Achizitii de active fixe necorporale, incl TVA</t>
        </is>
      </c>
      <c r="C129" s="204">
        <f>SUM(D129:D129)</f>
        <v/>
      </c>
      <c r="D129" s="199" t="n">
        <v>0</v>
      </c>
      <c r="E129" s="199" t="n">
        <v>0</v>
      </c>
      <c r="F129" s="199" t="n">
        <v>0</v>
      </c>
      <c r="G129" s="199" t="n">
        <v>0</v>
      </c>
    </row>
    <row r="130" customFormat="1" s="155">
      <c r="A130" s="11" t="n">
        <v>25</v>
      </c>
      <c r="B130" s="8" t="inlineStr">
        <is>
          <t>Cresterea investitiilor in curs</t>
        </is>
      </c>
      <c r="C130" s="204">
        <f>SUM(D130:D130)</f>
        <v/>
      </c>
      <c r="D130" s="199" t="n">
        <v>0</v>
      </c>
      <c r="E130" s="199" t="n">
        <v>0</v>
      </c>
      <c r="F130" s="199" t="n">
        <v>0</v>
      </c>
      <c r="G130" s="199" t="n">
        <v>0</v>
      </c>
    </row>
    <row r="131" ht="13.2" customFormat="1" customHeight="1" s="231">
      <c r="A131" s="12" t="n"/>
      <c r="B131" s="17" t="inlineStr">
        <is>
          <t>Total plati din investitii</t>
        </is>
      </c>
      <c r="C131" s="204">
        <f>SUM(D131:D131)</f>
        <v/>
      </c>
      <c r="D131" s="204">
        <f>SUM(D128:D130)</f>
        <v/>
      </c>
      <c r="E131" s="204">
        <f>SUM(E128:E130)</f>
        <v/>
      </c>
      <c r="F131" s="204">
        <f>SUM(F128:F130)</f>
        <v/>
      </c>
      <c r="G131" s="204">
        <f>SUM(G128:G130)</f>
        <v/>
      </c>
    </row>
    <row r="132" ht="14.4" customFormat="1" customHeight="1" s="150">
      <c r="A132" s="33" t="n"/>
      <c r="B132" s="531" t="inlineStr">
        <is>
          <t>Flux de lichiditati din investitii</t>
        </is>
      </c>
      <c r="C132" s="204">
        <f>SUM(D132:D132)</f>
        <v/>
      </c>
      <c r="D132" s="204">
        <f>-D131</f>
        <v/>
      </c>
      <c r="E132" s="204">
        <f>-E131</f>
        <v/>
      </c>
      <c r="F132" s="204">
        <f>-F131</f>
        <v/>
      </c>
      <c r="G132" s="204">
        <f>-G131</f>
        <v/>
      </c>
    </row>
    <row r="133" ht="14.4" customFormat="1" customHeight="1" s="150">
      <c r="A133" s="531" t="inlineStr">
        <is>
          <t>Flux de lichiditati din investitii si finantare</t>
        </is>
      </c>
      <c r="B133" s="553" t="n"/>
      <c r="C133" s="204">
        <f>SUM(D133:D133)</f>
        <v/>
      </c>
      <c r="D133" s="204">
        <f>D125+D132</f>
        <v/>
      </c>
      <c r="E133" s="204">
        <f>E125+E132</f>
        <v/>
      </c>
      <c r="F133" s="204">
        <f>F125+F132</f>
        <v/>
      </c>
      <c r="G133" s="204">
        <f>G125+G132</f>
        <v/>
      </c>
    </row>
    <row r="134" ht="14.4" customFormat="1" customHeight="1" s="150">
      <c r="A134" s="222" t="n"/>
      <c r="B134" s="222" t="n"/>
      <c r="C134" s="207" t="n"/>
      <c r="D134" s="207" t="n"/>
      <c r="E134" s="207" t="n"/>
      <c r="F134" s="207" t="n"/>
      <c r="G134" s="207" t="n"/>
    </row>
    <row r="135" ht="36" customFormat="1" customHeight="1" s="150">
      <c r="A135" s="507" t="inlineStr">
        <is>
          <t>FLUX DE LICHIDITATI TOTAL 
(activitatile de exploatare, finantare, investitii)</t>
        </is>
      </c>
      <c r="B135" s="556" t="n"/>
      <c r="C135" s="260" t="inlineStr">
        <is>
          <t>Total</t>
        </is>
      </c>
      <c r="D135" s="401" t="inlineStr">
        <is>
          <t>AN Implementare</t>
        </is>
      </c>
      <c r="E135" s="500" t="inlineStr">
        <is>
          <t>AN 1</t>
        </is>
      </c>
      <c r="F135" s="500" t="inlineStr">
        <is>
          <t>AN 2</t>
        </is>
      </c>
      <c r="G135" s="500" t="inlineStr">
        <is>
          <t>AN 3</t>
        </is>
      </c>
    </row>
    <row r="136" ht="14.4" customFormat="1" customHeight="1" s="150">
      <c r="A136" s="559" t="n"/>
      <c r="B136" s="560" t="n"/>
      <c r="C136" s="204">
        <f>SUM(D136:G136)</f>
        <v/>
      </c>
      <c r="D136" s="204">
        <f>D113+D133</f>
        <v/>
      </c>
      <c r="E136" s="204">
        <f>E113+E133</f>
        <v/>
      </c>
      <c r="F136" s="204">
        <f>F113+F133</f>
        <v/>
      </c>
      <c r="G136" s="204">
        <f>G113+G133</f>
        <v/>
      </c>
    </row>
    <row r="137" customFormat="1" s="155">
      <c r="A137" s="505" t="inlineStr">
        <is>
          <t xml:space="preserve">Disponibil de numerar la inceputul perioadei </t>
        </is>
      </c>
      <c r="B137" s="553" t="n"/>
      <c r="C137" s="204" t="n"/>
      <c r="D137" s="202">
        <f>'1A-Bilant'!C28</f>
        <v/>
      </c>
      <c r="E137" s="202">
        <f>D138</f>
        <v/>
      </c>
      <c r="F137" s="202">
        <f>E138</f>
        <v/>
      </c>
      <c r="G137" s="202">
        <f>F138</f>
        <v/>
      </c>
    </row>
    <row r="138" ht="21.75" customFormat="1" customHeight="1" s="155">
      <c r="A138" s="505" t="inlineStr">
        <is>
          <t xml:space="preserve">Disponibil de numerar la sfarsitul perioadei </t>
        </is>
      </c>
      <c r="B138" s="553" t="n"/>
      <c r="C138" s="204" t="n"/>
      <c r="D138" s="202">
        <f>D136 + D137</f>
        <v/>
      </c>
      <c r="E138" s="202">
        <f>E136 + E137</f>
        <v/>
      </c>
      <c r="F138" s="202">
        <f>F136 + F137</f>
        <v/>
      </c>
      <c r="G138" s="202">
        <f>G136 + G137</f>
        <v/>
      </c>
    </row>
    <row r="139" ht="21.75" customFormat="1" customHeight="1" s="155">
      <c r="A139" s="361" t="n"/>
      <c r="B139" s="361" t="n"/>
      <c r="C139" s="207" t="n"/>
      <c r="D139" s="362" t="n"/>
      <c r="E139" s="362" t="n"/>
      <c r="F139" s="362" t="n"/>
      <c r="G139" s="362" t="n"/>
    </row>
    <row r="140" ht="14.4" customFormat="1" customHeight="1" s="145">
      <c r="A140" s="493" t="inlineStr">
        <is>
          <t>Tabel 3: PROIECTII FINANCIARE INCREMENTALE (marginale)</t>
        </is>
      </c>
      <c r="B140" s="566" t="n"/>
      <c r="C140" s="566" t="n"/>
      <c r="D140" s="566" t="n"/>
      <c r="E140" s="566" t="n"/>
      <c r="F140" s="566" t="n"/>
      <c r="G140" s="566" t="n"/>
    </row>
    <row r="141" ht="14.4" customFormat="1" customHeight="1" s="145">
      <c r="A141" s="498" t="inlineStr">
        <is>
          <t>Nr</t>
        </is>
      </c>
      <c r="B141" s="499" t="n"/>
      <c r="C141" s="500" t="inlineStr">
        <is>
          <t>Total</t>
        </is>
      </c>
      <c r="D141" s="262" t="inlineStr">
        <is>
          <t>Implementare si operare</t>
        </is>
      </c>
      <c r="E141" s="552" t="n"/>
      <c r="F141" s="552" t="n"/>
      <c r="G141" s="553" t="n"/>
    </row>
    <row r="142" ht="36" customFormat="1" customHeight="1" s="145">
      <c r="A142" s="558" t="n"/>
      <c r="B142" s="558" t="n"/>
      <c r="C142" s="558" t="n"/>
      <c r="D142" s="401" t="inlineStr">
        <is>
          <t>AN Implementare</t>
        </is>
      </c>
      <c r="E142" s="500" t="inlineStr">
        <is>
          <t>AN 1</t>
        </is>
      </c>
      <c r="F142" s="500" t="inlineStr">
        <is>
          <t>AN 2</t>
        </is>
      </c>
      <c r="G142" s="500" t="inlineStr">
        <is>
          <t>AN 3</t>
        </is>
      </c>
    </row>
    <row r="143" ht="14.4" customFormat="1" customHeight="1" s="145">
      <c r="A143" s="568" t="inlineStr">
        <is>
          <t>ACTIVITATEA DE EXPLOATARE</t>
        </is>
      </c>
      <c r="B143" s="552" t="n"/>
      <c r="C143" s="552" t="n"/>
      <c r="D143" s="552" t="n"/>
      <c r="E143" s="552" t="n"/>
      <c r="F143" s="552" t="n"/>
      <c r="G143" s="553" t="n"/>
    </row>
    <row r="144" ht="14.4" customFormat="1" customHeight="1" s="145">
      <c r="A144" s="567" t="inlineStr">
        <is>
          <t>INCASARI DIN ACTIVITATEA DE EXPLOATARE  (marginale)</t>
        </is>
      </c>
      <c r="B144" s="552" t="n"/>
      <c r="C144" s="552" t="n"/>
      <c r="D144" s="552" t="n"/>
      <c r="E144" s="552" t="n"/>
      <c r="F144" s="552" t="n"/>
      <c r="G144" s="553" t="n"/>
    </row>
    <row r="145" ht="14.4" customFormat="1" customHeight="1" s="145">
      <c r="A145" s="531" t="inlineStr">
        <is>
          <t xml:space="preserve">Venituri din exploatare (marginale), incl TVA </t>
        </is>
      </c>
      <c r="B145" s="552" t="n"/>
      <c r="C145" s="552" t="n"/>
      <c r="D145" s="552" t="n"/>
      <c r="E145" s="552" t="n"/>
      <c r="F145" s="552" t="n"/>
      <c r="G145" s="553" t="n"/>
    </row>
    <row r="146" ht="14.4" customFormat="1" customHeight="1" s="145">
      <c r="A146" s="4" t="n">
        <v>1</v>
      </c>
      <c r="B146" s="505" t="inlineStr">
        <is>
          <t>Venituri din vanzari produse</t>
        </is>
      </c>
      <c r="C146" s="204">
        <f>SUM(D146:G146)</f>
        <v/>
      </c>
      <c r="D146" s="202">
        <f>D65-D9</f>
        <v/>
      </c>
      <c r="E146" s="202">
        <f>E65-E9</f>
        <v/>
      </c>
      <c r="F146" s="202">
        <f>F65-F9</f>
        <v/>
      </c>
      <c r="G146" s="202">
        <f>G65-G9</f>
        <v/>
      </c>
    </row>
    <row r="147" ht="14.4" customFormat="1" customHeight="1" s="145">
      <c r="A147" s="4" t="n">
        <v>2</v>
      </c>
      <c r="B147" s="505" t="inlineStr">
        <is>
          <t>Venituri din prestari servicii</t>
        </is>
      </c>
      <c r="C147" s="204">
        <f>SUM(D147:G147)</f>
        <v/>
      </c>
      <c r="D147" s="202">
        <f>D68-D12</f>
        <v/>
      </c>
      <c r="E147" s="202">
        <f>E68-E12</f>
        <v/>
      </c>
      <c r="F147" s="202">
        <f>F68-F12</f>
        <v/>
      </c>
      <c r="G147" s="202">
        <f>G68-G12</f>
        <v/>
      </c>
    </row>
    <row r="148" ht="14.4" customFormat="1" customHeight="1" s="145">
      <c r="A148" s="4" t="n">
        <v>3</v>
      </c>
      <c r="B148" s="505" t="inlineStr">
        <is>
          <t>Venituri din vanzari marfuri</t>
        </is>
      </c>
      <c r="C148" s="204">
        <f>SUM(D148:G148)</f>
        <v/>
      </c>
      <c r="D148" s="202">
        <f>D71-D15</f>
        <v/>
      </c>
      <c r="E148" s="202">
        <f>E71-E15</f>
        <v/>
      </c>
      <c r="F148" s="202">
        <f>F71-F15</f>
        <v/>
      </c>
      <c r="G148" s="202">
        <f>G71-G15</f>
        <v/>
      </c>
    </row>
    <row r="149" ht="23.25" customFormat="1" customHeight="1" s="150">
      <c r="A149" s="531" t="inlineStr">
        <is>
          <t>Total incasari din activitatea de exploatare (marginale)</t>
        </is>
      </c>
      <c r="B149" s="553" t="n"/>
      <c r="C149" s="204">
        <f>SUM(D149:G149)</f>
        <v/>
      </c>
      <c r="D149" s="204">
        <f>D74-D18</f>
        <v/>
      </c>
      <c r="E149" s="204">
        <f>E74-E18</f>
        <v/>
      </c>
      <c r="F149" s="204">
        <f>F74-F18</f>
        <v/>
      </c>
      <c r="G149" s="204">
        <f>G74-G18</f>
        <v/>
      </c>
    </row>
    <row r="150" ht="14.4" customFormat="1" customHeight="1" s="150">
      <c r="A150" s="567" t="inlineStr">
        <is>
          <t>PLATI DIN ACTIVITATEA DE EXPLOATARE</t>
        </is>
      </c>
      <c r="B150" s="552" t="n"/>
      <c r="C150" s="552" t="n"/>
      <c r="D150" s="552" t="n"/>
      <c r="E150" s="552" t="n"/>
      <c r="F150" s="552" t="n"/>
      <c r="G150" s="553" t="n"/>
    </row>
    <row r="151" ht="14.4" customFormat="1" customHeight="1" s="150">
      <c r="A151" s="531" t="inlineStr">
        <is>
          <t xml:space="preserve">Cheltuieli de exploatare (marginale), incl TVA </t>
        </is>
      </c>
      <c r="B151" s="552" t="n"/>
      <c r="C151" s="552" t="n"/>
      <c r="D151" s="552" t="n"/>
      <c r="E151" s="552" t="n"/>
      <c r="F151" s="552" t="n"/>
      <c r="G151" s="553" t="n"/>
    </row>
    <row r="152" ht="24" customFormat="1" customHeight="1" s="145">
      <c r="A152" s="4" t="n">
        <v>5</v>
      </c>
      <c r="B152" s="6" t="inlineStr">
        <is>
          <t>Cheltuieli cu materiile prime si cu materialele consumabile</t>
        </is>
      </c>
      <c r="C152" s="204">
        <f>SUM(D152:G152)</f>
        <v/>
      </c>
      <c r="D152" s="202">
        <f>D77-D21</f>
        <v/>
      </c>
      <c r="E152" s="202">
        <f>E77-E21</f>
        <v/>
      </c>
      <c r="F152" s="202">
        <f>F77-F21</f>
        <v/>
      </c>
      <c r="G152" s="202">
        <f>G77-G21</f>
        <v/>
      </c>
    </row>
    <row r="153" ht="14.4" customFormat="1" customHeight="1" s="145">
      <c r="A153" s="4" t="n">
        <v>6</v>
      </c>
      <c r="B153" s="6" t="inlineStr">
        <is>
          <t xml:space="preserve">Cheltuieli privind marfurile </t>
        </is>
      </c>
      <c r="C153" s="204">
        <f>SUM(D153:G153)</f>
        <v/>
      </c>
      <c r="D153" s="202">
        <f>D82-D26</f>
        <v/>
      </c>
      <c r="E153" s="202">
        <f>E82-E26</f>
        <v/>
      </c>
      <c r="F153" s="202">
        <f>F82-F26</f>
        <v/>
      </c>
      <c r="G153" s="202">
        <f>G82-G26</f>
        <v/>
      </c>
    </row>
    <row r="154" ht="24" customFormat="1" customHeight="1" s="145">
      <c r="A154" s="4" t="n">
        <v>7</v>
      </c>
      <c r="B154" s="505" t="inlineStr">
        <is>
          <t>Alte cheltuieli materiale (inclusiv cheltuieli cu prestatii externe)</t>
        </is>
      </c>
      <c r="C154" s="204">
        <f>SUM(D154:G154)</f>
        <v/>
      </c>
      <c r="D154" s="202">
        <f>D85-D29</f>
        <v/>
      </c>
      <c r="E154" s="202">
        <f>E85-E29</f>
        <v/>
      </c>
      <c r="F154" s="202">
        <f>F85-F29</f>
        <v/>
      </c>
      <c r="G154" s="202">
        <f>G85-G29</f>
        <v/>
      </c>
    </row>
    <row r="155" ht="14.4" customFormat="1" customHeight="1" s="145">
      <c r="A155" s="4" t="n">
        <v>8</v>
      </c>
      <c r="B155" s="505" t="inlineStr">
        <is>
          <t xml:space="preserve">Cheltuieli cu energia </t>
        </is>
      </c>
      <c r="C155" s="204">
        <f>SUM(D155:G155)</f>
        <v/>
      </c>
      <c r="D155" s="202">
        <f>D86-D30</f>
        <v/>
      </c>
      <c r="E155" s="202">
        <f>E86-E30</f>
        <v/>
      </c>
      <c r="F155" s="202">
        <f>F86-F30</f>
        <v/>
      </c>
      <c r="G155" s="202">
        <f>G86-G30</f>
        <v/>
      </c>
    </row>
    <row r="156" ht="14.4" customFormat="1" customHeight="1" s="145">
      <c r="A156" s="4" t="n">
        <v>9</v>
      </c>
      <c r="B156" s="505" t="inlineStr">
        <is>
          <t>Cheltuieli cu apa</t>
        </is>
      </c>
      <c r="C156" s="204">
        <f>SUM(D156:G156)</f>
        <v/>
      </c>
      <c r="D156" s="202">
        <f>D89-D33</f>
        <v/>
      </c>
      <c r="E156" s="202">
        <f>E89-E33</f>
        <v/>
      </c>
      <c r="F156" s="202">
        <f>F89-F33</f>
        <v/>
      </c>
      <c r="G156" s="202">
        <f>G89-G33</f>
        <v/>
      </c>
    </row>
    <row r="157" ht="14.4" customFormat="1" customHeight="1" s="145">
      <c r="A157" s="4" t="n">
        <v>10</v>
      </c>
      <c r="B157" s="505" t="inlineStr">
        <is>
          <t>Alte cheltuieli din afara (cu utilitati)</t>
        </is>
      </c>
      <c r="C157" s="204">
        <f>SUM(D157:G157)</f>
        <v/>
      </c>
      <c r="D157" s="202">
        <f>D92-D36</f>
        <v/>
      </c>
      <c r="E157" s="202">
        <f>E92-E36</f>
        <v/>
      </c>
      <c r="F157" s="202">
        <f>F92-F36</f>
        <v/>
      </c>
      <c r="G157" s="202">
        <f>G92-G36</f>
        <v/>
      </c>
    </row>
    <row r="158" ht="14.4" customFormat="1" customHeight="1" s="145">
      <c r="A158" s="4" t="n"/>
      <c r="B158" s="531" t="inlineStr">
        <is>
          <t>Total cheltuieli materiale</t>
        </is>
      </c>
      <c r="C158" s="204">
        <f>SUM(D158:G158)</f>
        <v/>
      </c>
      <c r="D158" s="204">
        <f>D95-D39</f>
        <v/>
      </c>
      <c r="E158" s="204">
        <f>E95-E39</f>
        <v/>
      </c>
      <c r="F158" s="204">
        <f>F95-F39</f>
        <v/>
      </c>
      <c r="G158" s="204">
        <f>G95-G39</f>
        <v/>
      </c>
    </row>
    <row r="159" ht="14.4" customFormat="1" customHeight="1" s="145">
      <c r="A159" s="4" t="n">
        <v>11</v>
      </c>
      <c r="B159" s="505" t="inlineStr">
        <is>
          <t>Cheltuieli cu personalul angajat</t>
        </is>
      </c>
      <c r="C159" s="204">
        <f>SUM(D159:G159)</f>
        <v/>
      </c>
      <c r="D159" s="202">
        <f>D96-D40</f>
        <v/>
      </c>
      <c r="E159" s="202">
        <f>E96-E40</f>
        <v/>
      </c>
      <c r="F159" s="202">
        <f>F96-F40</f>
        <v/>
      </c>
      <c r="G159" s="202">
        <f>G96-G40</f>
        <v/>
      </c>
    </row>
    <row r="160" ht="14.4" customFormat="1" customHeight="1" s="145">
      <c r="A160" s="7" t="n">
        <v>12</v>
      </c>
      <c r="B160" s="6" t="inlineStr">
        <is>
          <t xml:space="preserve">Cheltuieli cu asigurarile si protectia sociala </t>
        </is>
      </c>
      <c r="C160" s="204">
        <f>SUM(D160:G160)</f>
        <v/>
      </c>
      <c r="D160" s="202">
        <f>D100-D44</f>
        <v/>
      </c>
      <c r="E160" s="202">
        <f>E100-E44</f>
        <v/>
      </c>
      <c r="F160" s="202">
        <f>F100-F44</f>
        <v/>
      </c>
      <c r="G160" s="202">
        <f>G100-G44</f>
        <v/>
      </c>
    </row>
    <row r="161" ht="14.4" customFormat="1" customHeight="1" s="150">
      <c r="A161" s="4" t="n"/>
      <c r="B161" s="531" t="inlineStr">
        <is>
          <t>Cheltuieli de personal</t>
        </is>
      </c>
      <c r="C161" s="204">
        <f>SUM(D161:G161)</f>
        <v/>
      </c>
      <c r="D161" s="204">
        <f>D101-D45</f>
        <v/>
      </c>
      <c r="E161" s="204">
        <f>E101-E45</f>
        <v/>
      </c>
      <c r="F161" s="204">
        <f>F101-F45</f>
        <v/>
      </c>
      <c r="G161" s="204">
        <f>G101-G45</f>
        <v/>
      </c>
    </row>
    <row r="162" ht="36" customFormat="1" customHeight="1" s="145">
      <c r="A162" s="4" t="n">
        <v>13</v>
      </c>
      <c r="B162" s="6" t="inlineStr">
        <is>
          <t>Alte cheltuieli de exploatare (prestatii externe, alte impozite, taxe si varsaminte asimilate, alte cheltuieli), din care:</t>
        </is>
      </c>
      <c r="C162" s="204">
        <f>SUM(D162:G162)</f>
        <v/>
      </c>
      <c r="D162" s="202">
        <f>D102-D46</f>
        <v/>
      </c>
      <c r="E162" s="202">
        <f>E102-E46</f>
        <v/>
      </c>
      <c r="F162" s="202">
        <f>F102-F46</f>
        <v/>
      </c>
      <c r="G162" s="202">
        <f>G102-G46</f>
        <v/>
      </c>
    </row>
    <row r="163" ht="24" customFormat="1" customHeight="1" s="145">
      <c r="A163" s="4" t="n"/>
      <c r="B163" s="505" t="inlineStr">
        <is>
          <t xml:space="preserve">        - Cheltuieli de intretinere si reparatii capitale</t>
        </is>
      </c>
      <c r="C163" s="204">
        <f>SUM(D163:G163)</f>
        <v/>
      </c>
      <c r="D163" s="202">
        <f>D103-D47</f>
        <v/>
      </c>
      <c r="E163" s="202">
        <f>E103-E47</f>
        <v/>
      </c>
      <c r="F163" s="202">
        <f>F103-F47</f>
        <v/>
      </c>
      <c r="G163" s="202">
        <f>G103-G47</f>
        <v/>
      </c>
    </row>
    <row r="164" ht="36" customFormat="1" customHeight="1" s="231">
      <c r="A164" s="229" t="n">
        <v>14</v>
      </c>
      <c r="B164" s="531" t="inlineStr">
        <is>
          <t>Cheltuieli financiare (Cheltuieli privind dobanzile la imprumuturile contractate pentru proiectul de investitiei)</t>
        </is>
      </c>
      <c r="C164" s="204">
        <f>SUM(D164:G164)</f>
        <v/>
      </c>
      <c r="D164" s="204">
        <f>D106-D50</f>
        <v/>
      </c>
      <c r="E164" s="204">
        <f>E106-E50</f>
        <v/>
      </c>
      <c r="F164" s="204">
        <f>F106-F50</f>
        <v/>
      </c>
      <c r="G164" s="204">
        <f>G106-G50</f>
        <v/>
      </c>
    </row>
    <row r="165" ht="24" customFormat="1" customHeight="1" s="231">
      <c r="A165" s="229" t="n"/>
      <c r="B165" s="531" t="inlineStr">
        <is>
          <t>Total iesiri de lichiditati din activitatea de exploatare  (marginale)</t>
        </is>
      </c>
      <c r="C165" s="204">
        <f>SUM(D165:G165)</f>
        <v/>
      </c>
      <c r="D165" s="204">
        <f>D107-D51</f>
        <v/>
      </c>
      <c r="E165" s="204">
        <f>E107-E51</f>
        <v/>
      </c>
      <c r="F165" s="204">
        <f>F107-F51</f>
        <v/>
      </c>
      <c r="G165" s="204">
        <f>G107-G51</f>
        <v/>
      </c>
    </row>
    <row r="166" ht="24" customFormat="1" customHeight="1" s="231">
      <c r="A166" s="229" t="n"/>
      <c r="B166" s="531" t="inlineStr">
        <is>
          <t>Flux de lichiditati brut din activitatea de  exploatare (marginale)</t>
        </is>
      </c>
      <c r="C166" s="204">
        <f>SUM(D166:G166)</f>
        <v/>
      </c>
      <c r="D166" s="204">
        <f>D108-D52</f>
        <v/>
      </c>
      <c r="E166" s="204">
        <f>E108-E52</f>
        <v/>
      </c>
      <c r="F166" s="204">
        <f>F108-F52</f>
        <v/>
      </c>
      <c r="G166" s="204">
        <f>G108-G52</f>
        <v/>
      </c>
    </row>
    <row r="167" customFormat="1" s="155">
      <c r="A167" s="7" t="n">
        <v>15</v>
      </c>
      <c r="B167" s="8" t="inlineStr">
        <is>
          <t>Plati TVA</t>
        </is>
      </c>
      <c r="C167" s="204">
        <f>SUM(D167:G167)</f>
        <v/>
      </c>
      <c r="D167" s="202">
        <f>D109-D53</f>
        <v/>
      </c>
      <c r="E167" s="202">
        <f>E109-E53</f>
        <v/>
      </c>
      <c r="F167" s="202">
        <f>F109-F53</f>
        <v/>
      </c>
      <c r="G167" s="202">
        <f>G109-G53</f>
        <v/>
      </c>
    </row>
    <row r="168" customFormat="1" s="155">
      <c r="A168" s="7" t="n">
        <v>16</v>
      </c>
      <c r="B168" s="8" t="inlineStr">
        <is>
          <t>Rambursari TVA</t>
        </is>
      </c>
      <c r="C168" s="204">
        <f>SUM(D168:G168)</f>
        <v/>
      </c>
      <c r="D168" s="202">
        <f>D110-D54</f>
        <v/>
      </c>
      <c r="E168" s="202">
        <f>E110-E54</f>
        <v/>
      </c>
      <c r="F168" s="202">
        <f>F110-F54</f>
        <v/>
      </c>
      <c r="G168" s="202">
        <f>G110-G54</f>
        <v/>
      </c>
    </row>
    <row r="169" customFormat="1" s="155">
      <c r="A169" s="7" t="n">
        <v>17</v>
      </c>
      <c r="B169" s="8" t="inlineStr">
        <is>
          <t>Impozit pe profit/venit</t>
        </is>
      </c>
      <c r="C169" s="204">
        <f>SUM(D169:G169)</f>
        <v/>
      </c>
      <c r="D169" s="202">
        <f>D111-D55</f>
        <v/>
      </c>
      <c r="E169" s="202">
        <f>E111-E55</f>
        <v/>
      </c>
      <c r="F169" s="202">
        <f>F111-F55</f>
        <v/>
      </c>
      <c r="G169" s="202">
        <f>G111-G55</f>
        <v/>
      </c>
    </row>
    <row r="170" ht="13.2" customFormat="1" customHeight="1" s="231">
      <c r="A170" s="531" t="inlineStr">
        <is>
          <t>Plati/incasari pentru impozite si taxe (marginale)</t>
        </is>
      </c>
      <c r="B170" s="553" t="n"/>
      <c r="C170" s="204">
        <f>SUM(D170:G170)</f>
        <v/>
      </c>
      <c r="D170" s="204">
        <f>D112-D56</f>
        <v/>
      </c>
      <c r="E170" s="204">
        <f>E112-E56</f>
        <v/>
      </c>
      <c r="F170" s="204">
        <f>F112-F56</f>
        <v/>
      </c>
      <c r="G170" s="204">
        <f>G112-G56</f>
        <v/>
      </c>
    </row>
    <row r="171" ht="27" customFormat="1" customHeight="1" s="150">
      <c r="A171" s="531" t="inlineStr">
        <is>
          <t>Flux de lichiditati net din activitatea de  exploatare (marginale)</t>
        </is>
      </c>
      <c r="B171" s="553" t="n"/>
      <c r="C171" s="204">
        <f>SUM(D171:G171)</f>
        <v/>
      </c>
      <c r="D171" s="204">
        <f>D113-D57</f>
        <v/>
      </c>
      <c r="E171" s="204">
        <f>E113-E57</f>
        <v/>
      </c>
      <c r="F171" s="204">
        <f>F113-F57</f>
        <v/>
      </c>
      <c r="G171" s="204">
        <f>G113-G57</f>
        <v/>
      </c>
    </row>
    <row r="172" ht="14.4" customFormat="1" customHeight="1" s="150">
      <c r="A172" s="10" t="n"/>
      <c r="B172" s="222" t="n"/>
      <c r="C172" s="207" t="n"/>
      <c r="D172" s="207" t="n"/>
      <c r="E172" s="207" t="n"/>
      <c r="F172" s="207" t="n"/>
      <c r="G172" s="207" t="n"/>
      <c r="H172" s="207" t="n"/>
      <c r="I172" s="207" t="n"/>
      <c r="J172" s="207" t="n"/>
      <c r="K172" s="207" t="n"/>
      <c r="L172" s="207" t="n"/>
      <c r="M172" s="207" t="n"/>
    </row>
    <row r="173" ht="13.2" customFormat="1" customHeight="1" s="231">
      <c r="A173" s="230" t="inlineStr">
        <is>
          <t>ACTIVITATEA DE FINANTARE</t>
        </is>
      </c>
      <c r="B173" s="230" t="n"/>
      <c r="C173" s="230" t="n"/>
      <c r="D173" s="230" t="n"/>
      <c r="E173" s="230" t="n"/>
      <c r="F173" s="230" t="n"/>
      <c r="G173" s="230" t="n"/>
      <c r="H173" s="230" t="n"/>
      <c r="I173" s="230" t="n"/>
      <c r="J173" s="230" t="n"/>
      <c r="K173" s="230" t="n"/>
      <c r="L173" s="230" t="n"/>
      <c r="M173" s="230" t="n"/>
    </row>
    <row r="174" ht="36" customHeight="1" s="350">
      <c r="A174" s="232" t="inlineStr">
        <is>
          <t>INCASARI DIN ACTIVITATEA DE FINANTARE</t>
        </is>
      </c>
      <c r="B174" s="232" t="n"/>
      <c r="C174" s="500" t="inlineStr">
        <is>
          <t>Total</t>
        </is>
      </c>
      <c r="D174" s="401" t="inlineStr">
        <is>
          <t>AN Implementare</t>
        </is>
      </c>
      <c r="E174" s="230" t="n"/>
      <c r="F174" s="230" t="n"/>
      <c r="G174" s="230" t="n"/>
      <c r="H174" s="230" t="n"/>
      <c r="I174" s="230" t="n"/>
      <c r="J174" s="230" t="n"/>
      <c r="K174" s="155" t="n"/>
      <c r="L174" s="155" t="n"/>
      <c r="M174" s="155" t="n"/>
    </row>
    <row r="175" ht="24" customFormat="1" customHeight="1" s="155">
      <c r="A175" s="11" t="n">
        <v>19</v>
      </c>
      <c r="B175" s="8" t="inlineStr">
        <is>
          <t>Aport la capitalul societatii  (imprumuturi de la actionari/asociati)</t>
        </is>
      </c>
      <c r="C175" s="204">
        <f>SUM(D175:D175)</f>
        <v/>
      </c>
      <c r="D175" s="202">
        <f>'2B-Investitie'!E27</f>
        <v/>
      </c>
      <c r="E175" s="362" t="n"/>
      <c r="F175" s="362" t="n"/>
      <c r="G175" s="362" t="n"/>
      <c r="H175" s="362" t="n"/>
      <c r="I175" s="362" t="n"/>
      <c r="J175" s="362" t="n"/>
    </row>
    <row r="176" customFormat="1" s="155">
      <c r="A176" s="11" t="n">
        <v>20</v>
      </c>
      <c r="B176" s="8" t="inlineStr">
        <is>
          <t>Credite pentru realizarea investiției</t>
        </is>
      </c>
      <c r="C176" s="204">
        <f>SUM(D176:D176)</f>
        <v/>
      </c>
      <c r="D176" s="202">
        <f>'2B-Investitie'!E28</f>
        <v/>
      </c>
      <c r="E176" s="362" t="n"/>
      <c r="F176" s="362" t="n"/>
      <c r="G176" s="362" t="n"/>
      <c r="H176" s="362" t="n"/>
      <c r="I176" s="362" t="n"/>
      <c r="J176" s="362" t="n"/>
    </row>
    <row r="177" customFormat="1" s="155">
      <c r="A177" s="11" t="n">
        <v>21</v>
      </c>
      <c r="B177" s="8" t="inlineStr">
        <is>
          <t xml:space="preserve"> Ajutor nerambursabil (inclusiv avans)</t>
        </is>
      </c>
      <c r="C177" s="204">
        <f>SUM(D177:D177)</f>
        <v/>
      </c>
      <c r="D177" s="202">
        <f>'2B-Investitie'!E29</f>
        <v/>
      </c>
      <c r="E177" s="362" t="n"/>
      <c r="F177" s="362" t="n"/>
      <c r="G177" s="362" t="n"/>
      <c r="H177" s="362" t="n"/>
      <c r="I177" s="362" t="n"/>
      <c r="J177" s="362" t="n"/>
    </row>
    <row r="178" ht="13.2" customFormat="1" customHeight="1" s="231">
      <c r="A178" s="12" t="n"/>
      <c r="B178" s="17" t="inlineStr">
        <is>
          <t>Total incasari din finantare</t>
        </is>
      </c>
      <c r="C178" s="204">
        <f>SUM(D178:D178)</f>
        <v/>
      </c>
      <c r="D178" s="204">
        <f>SUM(D175:D177)</f>
        <v/>
      </c>
      <c r="E178" s="207" t="n"/>
      <c r="F178" s="207" t="n"/>
      <c r="G178" s="207" t="n"/>
      <c r="H178" s="207" t="n"/>
      <c r="I178" s="207" t="n"/>
      <c r="J178" s="207" t="n"/>
    </row>
    <row r="179" ht="36" customFormat="1" customHeight="1" s="155">
      <c r="A179" s="232" t="inlineStr">
        <is>
          <t>PLATI DIN ACTIVITATEA DE FINANTARE</t>
        </is>
      </c>
      <c r="B179" s="232" t="n"/>
      <c r="C179" s="500" t="inlineStr">
        <is>
          <t>Total</t>
        </is>
      </c>
      <c r="D179" s="401" t="inlineStr">
        <is>
          <t>AN Implementare</t>
        </is>
      </c>
      <c r="E179" s="500" t="inlineStr">
        <is>
          <t>AN 1</t>
        </is>
      </c>
      <c r="F179" s="500" t="inlineStr">
        <is>
          <t>AN 2</t>
        </is>
      </c>
      <c r="G179" s="500" t="inlineStr">
        <is>
          <t>AN 3</t>
        </is>
      </c>
    </row>
    <row r="180" customFormat="1" s="155">
      <c r="A180" s="11" t="n">
        <v>22</v>
      </c>
      <c r="B180" s="8" t="inlineStr">
        <is>
          <t xml:space="preserve">Rambursari de Credite, din care:  </t>
        </is>
      </c>
      <c r="C180" s="204">
        <f>SUM(D180:G180)</f>
        <v/>
      </c>
      <c r="D180" s="202">
        <f>D122</f>
        <v/>
      </c>
      <c r="E180" s="202">
        <f>E122</f>
        <v/>
      </c>
      <c r="F180" s="202">
        <f>F122</f>
        <v/>
      </c>
      <c r="G180" s="202">
        <f>G122</f>
        <v/>
      </c>
    </row>
    <row r="181" customFormat="1" s="155">
      <c r="A181" s="11" t="n"/>
      <c r="B181" s="505" t="inlineStr">
        <is>
          <t>Rate la imprumut - cofinantare la proiect</t>
        </is>
      </c>
      <c r="C181" s="204">
        <f>SUM(D181:G181)</f>
        <v/>
      </c>
      <c r="D181" s="202">
        <f>'2B-Investitie'!D35</f>
        <v/>
      </c>
      <c r="E181" s="202">
        <f>'2B-Investitie'!E35</f>
        <v/>
      </c>
      <c r="F181" s="202">
        <f>'2B-Investitie'!F35</f>
        <v/>
      </c>
      <c r="G181" s="202">
        <f>'2B-Investitie'!G35</f>
        <v/>
      </c>
    </row>
    <row r="182" ht="13.2" customFormat="1" customHeight="1" s="231">
      <c r="A182" s="12" t="n"/>
      <c r="B182" s="17" t="inlineStr">
        <is>
          <t>Total plati din finantare</t>
        </is>
      </c>
      <c r="C182" s="204">
        <f>SUM(D182:G182)</f>
        <v/>
      </c>
      <c r="D182" s="204">
        <f>D180</f>
        <v/>
      </c>
      <c r="E182" s="204">
        <f>E180</f>
        <v/>
      </c>
      <c r="F182" s="204">
        <f>F180</f>
        <v/>
      </c>
      <c r="G182" s="204">
        <f>G180</f>
        <v/>
      </c>
    </row>
    <row r="183" ht="14.4" customFormat="1" customHeight="1" s="150">
      <c r="A183" s="33" t="n"/>
      <c r="B183" s="531" t="inlineStr">
        <is>
          <t>Flux de lichiditati din finantare</t>
        </is>
      </c>
      <c r="C183" s="204">
        <f>SUM(D183:G183)</f>
        <v/>
      </c>
      <c r="D183" s="204">
        <f>D178-D182</f>
        <v/>
      </c>
      <c r="E183" s="204">
        <f>E178-E182</f>
        <v/>
      </c>
      <c r="F183" s="204">
        <f>F178-F182</f>
        <v/>
      </c>
      <c r="G183" s="204">
        <f>G178-G182</f>
        <v/>
      </c>
    </row>
    <row r="184" ht="14.4" customFormat="1" customHeight="1" s="150">
      <c r="A184" s="10" t="n"/>
      <c r="B184" s="222" t="n"/>
      <c r="C184" s="207" t="n"/>
      <c r="D184" s="207" t="n"/>
      <c r="E184" s="207" t="n"/>
      <c r="F184" s="207" t="n"/>
      <c r="G184" s="207" t="n"/>
    </row>
    <row r="185" ht="27.75" customFormat="1" customHeight="1" s="231">
      <c r="A185" s="531">
        <f>A127</f>
        <v/>
      </c>
      <c r="B185" s="553" t="n"/>
      <c r="C185" s="500" t="inlineStr">
        <is>
          <t>Total</t>
        </is>
      </c>
      <c r="D185" s="401" t="inlineStr">
        <is>
          <t>AN Implementare</t>
        </is>
      </c>
      <c r="E185" s="500" t="inlineStr">
        <is>
          <t>AN 1</t>
        </is>
      </c>
      <c r="F185" s="500" t="inlineStr">
        <is>
          <t>AN 2</t>
        </is>
      </c>
      <c r="G185" s="500" t="inlineStr">
        <is>
          <t>AN 3</t>
        </is>
      </c>
    </row>
    <row r="186" customFormat="1" s="155">
      <c r="A186" s="11" t="n">
        <v>23</v>
      </c>
      <c r="B186" s="8" t="inlineStr">
        <is>
          <t xml:space="preserve">Achizitii de active fixe corporale, incl TVA </t>
        </is>
      </c>
      <c r="C186" s="204">
        <f>SUM(D186:G186)</f>
        <v/>
      </c>
      <c r="D186" s="202">
        <f>D128</f>
        <v/>
      </c>
      <c r="E186" s="202">
        <f>E128</f>
        <v/>
      </c>
      <c r="F186" s="202">
        <f>F128</f>
        <v/>
      </c>
      <c r="G186" s="202">
        <f>G128</f>
        <v/>
      </c>
    </row>
    <row r="187" customFormat="1" s="155">
      <c r="A187" s="11" t="n">
        <v>24</v>
      </c>
      <c r="B187" s="8" t="inlineStr">
        <is>
          <t>Achizitii de active fixe necorporale, incl TVA</t>
        </is>
      </c>
      <c r="C187" s="204">
        <f>SUM(D187:G187)</f>
        <v/>
      </c>
      <c r="D187" s="202">
        <f>D129</f>
        <v/>
      </c>
      <c r="E187" s="202">
        <f>E129</f>
        <v/>
      </c>
      <c r="F187" s="202">
        <f>F129</f>
        <v/>
      </c>
      <c r="G187" s="202">
        <f>G129</f>
        <v/>
      </c>
    </row>
    <row r="188" customFormat="1" s="155">
      <c r="A188" s="11" t="n">
        <v>25</v>
      </c>
      <c r="B188" s="8" t="inlineStr">
        <is>
          <t>Cresterea investitiilor in curs</t>
        </is>
      </c>
      <c r="C188" s="204">
        <f>SUM(D188:G188)</f>
        <v/>
      </c>
      <c r="D188" s="202">
        <f>D130</f>
        <v/>
      </c>
      <c r="E188" s="202">
        <f>E130</f>
        <v/>
      </c>
      <c r="F188" s="202">
        <f>F130</f>
        <v/>
      </c>
      <c r="G188" s="202">
        <f>G130</f>
        <v/>
      </c>
    </row>
    <row r="189" ht="13.2" customFormat="1" customHeight="1" s="231">
      <c r="A189" s="12" t="n"/>
      <c r="B189" s="17" t="inlineStr">
        <is>
          <t>Total plati din investitii</t>
        </is>
      </c>
      <c r="C189" s="204">
        <f>SUM(D189:G189)</f>
        <v/>
      </c>
      <c r="D189" s="204">
        <f>SUM(D186:D188)</f>
        <v/>
      </c>
      <c r="E189" s="204">
        <f>SUM(E186:E188)</f>
        <v/>
      </c>
      <c r="F189" s="204">
        <f>SUM(F186:F188)</f>
        <v/>
      </c>
      <c r="G189" s="204">
        <f>SUM(G186:G188)</f>
        <v/>
      </c>
    </row>
    <row r="190" ht="14.4" customFormat="1" customHeight="1" s="150">
      <c r="A190" s="33" t="n"/>
      <c r="B190" s="531" t="inlineStr">
        <is>
          <t>Flux de lichiditati din investitii</t>
        </is>
      </c>
      <c r="C190" s="204">
        <f>SUM(D190:G190)</f>
        <v/>
      </c>
      <c r="D190" s="204">
        <f>-D189</f>
        <v/>
      </c>
      <c r="E190" s="204">
        <f>-E189</f>
        <v/>
      </c>
      <c r="F190" s="204">
        <f>-F189</f>
        <v/>
      </c>
      <c r="G190" s="204">
        <f>-G189</f>
        <v/>
      </c>
    </row>
    <row r="191" ht="14.4" customFormat="1" customHeight="1" s="150">
      <c r="A191" s="507" t="inlineStr">
        <is>
          <t>Flux de lichiditati din investitii si finantare</t>
        </is>
      </c>
      <c r="B191" s="556" t="n"/>
      <c r="C191" s="500" t="inlineStr">
        <is>
          <t>Total</t>
        </is>
      </c>
      <c r="D191" s="500" t="inlineStr">
        <is>
          <t>AN 1</t>
        </is>
      </c>
      <c r="E191" s="500" t="inlineStr">
        <is>
          <t>AN 2</t>
        </is>
      </c>
      <c r="F191" s="500" t="inlineStr">
        <is>
          <t>AN 3</t>
        </is>
      </c>
      <c r="G191" s="500" t="inlineStr">
        <is>
          <t>AN 4</t>
        </is>
      </c>
    </row>
    <row r="192" ht="15" customFormat="1" customHeight="1" s="150">
      <c r="A192" s="559" t="n"/>
      <c r="B192" s="560" t="n"/>
      <c r="C192" s="204">
        <f>SUM(D192:G192)</f>
        <v/>
      </c>
      <c r="D192" s="204">
        <f>D183+D190</f>
        <v/>
      </c>
      <c r="E192" s="204">
        <f>E183+E190</f>
        <v/>
      </c>
      <c r="F192" s="204">
        <f>F183+F190</f>
        <v/>
      </c>
      <c r="G192" s="204">
        <f>G183+G190</f>
        <v/>
      </c>
    </row>
    <row r="193" ht="14.4" customFormat="1" customHeight="1" s="150">
      <c r="A193" s="222" t="n"/>
      <c r="B193" s="222" t="n"/>
      <c r="C193" s="207" t="n"/>
      <c r="D193" s="207" t="n"/>
      <c r="E193" s="207" t="n"/>
      <c r="F193" s="207" t="n"/>
      <c r="G193" s="207" t="n"/>
    </row>
    <row r="194" ht="14.4" customFormat="1" customHeight="1" s="150">
      <c r="A194" s="507" t="inlineStr">
        <is>
          <t>FLUX DE LICHIDITATI TOTAL 
(exploatare, finantare, investitii)</t>
        </is>
      </c>
      <c r="B194" s="556" t="n"/>
      <c r="C194" s="500" t="inlineStr">
        <is>
          <t>Total</t>
        </is>
      </c>
      <c r="D194" s="500" t="inlineStr">
        <is>
          <t>AN 1</t>
        </is>
      </c>
      <c r="E194" s="500" t="inlineStr">
        <is>
          <t>AN 2</t>
        </is>
      </c>
      <c r="F194" s="500" t="inlineStr">
        <is>
          <t>AN 3</t>
        </is>
      </c>
      <c r="G194" s="500" t="inlineStr">
        <is>
          <t>AN 4</t>
        </is>
      </c>
    </row>
    <row r="195" ht="14.4" customFormat="1" customHeight="1" s="150">
      <c r="A195" s="559" t="n"/>
      <c r="B195" s="560" t="n"/>
      <c r="C195" s="204">
        <f>SUM(D195:G195)</f>
        <v/>
      </c>
      <c r="D195" s="204">
        <f>D171+D192</f>
        <v/>
      </c>
      <c r="E195" s="204">
        <f>E171+E192</f>
        <v/>
      </c>
      <c r="F195" s="204">
        <f>F171+F192</f>
        <v/>
      </c>
      <c r="G195" s="204">
        <f>G171+G192</f>
        <v/>
      </c>
    </row>
    <row r="196" customFormat="1" s="155">
      <c r="A196" s="37" t="n"/>
      <c r="B196" s="224" t="n"/>
      <c r="C196" s="207" t="n"/>
      <c r="D196" s="362" t="n"/>
      <c r="E196" s="362" t="n"/>
      <c r="F196" s="362" t="n"/>
      <c r="G196" s="362" t="n"/>
      <c r="H196" s="362" t="n"/>
      <c r="I196" s="362" t="n"/>
      <c r="J196" s="362" t="n"/>
      <c r="K196" s="362" t="n"/>
      <c r="L196" s="362" t="n"/>
      <c r="M196" s="362" t="n"/>
    </row>
    <row r="197" customFormat="1" s="155">
      <c r="A197" s="37" t="n"/>
      <c r="B197" s="224" t="n"/>
      <c r="C197" s="207" t="n"/>
      <c r="D197" s="362" t="n"/>
      <c r="E197" s="362" t="n"/>
      <c r="F197" s="362" t="n"/>
      <c r="G197" s="362" t="n"/>
      <c r="H197" s="362" t="n"/>
      <c r="I197" s="362" t="n"/>
      <c r="J197" s="362" t="n"/>
      <c r="K197" s="362" t="n"/>
      <c r="L197" s="362" t="n"/>
      <c r="M197" s="362" t="n"/>
    </row>
    <row r="198" customFormat="1" s="155">
      <c r="A198" s="37" t="n"/>
      <c r="B198" s="224" t="n"/>
      <c r="C198" s="207" t="n"/>
      <c r="D198" s="362" t="n"/>
      <c r="E198" s="362" t="n"/>
      <c r="F198" s="362" t="n"/>
      <c r="G198" s="362" t="n"/>
      <c r="H198" s="362" t="n"/>
      <c r="I198" s="362" t="n"/>
      <c r="J198" s="362" t="n"/>
      <c r="K198" s="362" t="n"/>
      <c r="L198" s="362" t="n"/>
      <c r="M198" s="362" t="n"/>
    </row>
    <row r="199" customFormat="1" s="155">
      <c r="A199" s="37" t="n"/>
      <c r="B199" s="224" t="n"/>
      <c r="C199" s="207" t="n"/>
      <c r="D199" s="362" t="n"/>
      <c r="E199" s="362" t="n"/>
      <c r="F199" s="362" t="n"/>
      <c r="G199" s="362" t="n"/>
      <c r="H199" s="362" t="n"/>
      <c r="I199" s="362" t="n"/>
      <c r="J199" s="362" t="n"/>
      <c r="K199" s="362" t="n"/>
      <c r="L199" s="362" t="n"/>
      <c r="M199" s="362" t="n"/>
    </row>
    <row r="200" customFormat="1" s="155">
      <c r="A200" s="37" t="n"/>
      <c r="B200" s="224" t="n"/>
      <c r="C200" s="207" t="n"/>
      <c r="D200" s="362" t="n"/>
      <c r="E200" s="362" t="n"/>
      <c r="F200" s="362" t="n"/>
      <c r="G200" s="362" t="n"/>
      <c r="H200" s="362" t="n"/>
      <c r="I200" s="362" t="n"/>
      <c r="J200" s="362" t="n"/>
      <c r="K200" s="362" t="n"/>
      <c r="L200" s="362" t="n"/>
      <c r="M200" s="362" t="n"/>
    </row>
    <row r="201" customFormat="1" s="155">
      <c r="A201" s="37" t="n"/>
      <c r="B201" s="224" t="n"/>
      <c r="C201" s="207" t="n"/>
      <c r="D201" s="362" t="n"/>
      <c r="E201" s="362" t="n"/>
      <c r="F201" s="362" t="n"/>
      <c r="G201" s="362" t="n"/>
      <c r="H201" s="362" t="n"/>
      <c r="I201" s="362" t="n"/>
      <c r="J201" s="362" t="n"/>
      <c r="K201" s="362" t="n"/>
      <c r="L201" s="362" t="n"/>
      <c r="M201" s="362" t="n"/>
    </row>
    <row r="202" customFormat="1" s="155">
      <c r="A202" s="37" t="n"/>
      <c r="B202" s="224" t="n"/>
      <c r="C202" s="207" t="n"/>
      <c r="D202" s="362" t="n"/>
      <c r="E202" s="362" t="n"/>
      <c r="F202" s="362" t="n"/>
      <c r="G202" s="362" t="n"/>
      <c r="H202" s="362" t="n"/>
      <c r="I202" s="362" t="n"/>
      <c r="J202" s="362" t="n"/>
      <c r="K202" s="362" t="n"/>
      <c r="L202" s="362" t="n"/>
      <c r="M202" s="362" t="n"/>
    </row>
    <row r="203" customFormat="1" s="155">
      <c r="A203" s="37" t="n"/>
      <c r="B203" s="224" t="n"/>
      <c r="C203" s="207" t="n"/>
      <c r="D203" s="362" t="n"/>
      <c r="E203" s="362" t="n"/>
      <c r="F203" s="362" t="n"/>
      <c r="G203" s="362" t="n"/>
      <c r="H203" s="362" t="n"/>
      <c r="I203" s="362" t="n"/>
      <c r="J203" s="362" t="n"/>
      <c r="K203" s="362" t="n"/>
      <c r="L203" s="362" t="n"/>
      <c r="M203" s="362" t="n"/>
    </row>
    <row r="204" customFormat="1" s="155">
      <c r="A204" s="37" t="n"/>
      <c r="B204" s="224" t="n"/>
      <c r="C204" s="207" t="n"/>
      <c r="D204" s="362" t="n"/>
      <c r="E204" s="362" t="n"/>
      <c r="F204" s="362" t="n"/>
      <c r="G204" s="362" t="n"/>
      <c r="H204" s="362" t="n"/>
      <c r="I204" s="362" t="n"/>
      <c r="J204" s="362" t="n"/>
      <c r="K204" s="362" t="n"/>
      <c r="L204" s="362" t="n"/>
      <c r="M204" s="362" t="n"/>
    </row>
    <row r="205" customFormat="1" s="155">
      <c r="A205" s="37" t="n"/>
      <c r="B205" s="224" t="n"/>
      <c r="C205" s="207" t="n"/>
      <c r="D205" s="362" t="n"/>
      <c r="E205" s="362" t="n"/>
      <c r="F205" s="362" t="n"/>
      <c r="G205" s="362" t="n"/>
      <c r="H205" s="362" t="n"/>
      <c r="I205" s="362" t="n"/>
      <c r="J205" s="362" t="n"/>
      <c r="K205" s="362" t="n"/>
      <c r="L205" s="362" t="n"/>
      <c r="M205" s="362" t="n"/>
    </row>
    <row r="206" customFormat="1" s="155">
      <c r="A206" s="37" t="n"/>
      <c r="B206" s="224" t="n"/>
      <c r="C206" s="207" t="n"/>
      <c r="D206" s="362" t="n"/>
      <c r="E206" s="362" t="n"/>
      <c r="F206" s="362" t="n"/>
      <c r="G206" s="362" t="n"/>
      <c r="H206" s="362" t="n"/>
      <c r="I206" s="362" t="n"/>
      <c r="J206" s="362" t="n"/>
      <c r="K206" s="362" t="n"/>
      <c r="L206" s="362" t="n"/>
      <c r="M206" s="362" t="n"/>
    </row>
    <row r="207" customFormat="1" s="155">
      <c r="A207" s="37" t="n"/>
      <c r="B207" s="224" t="n"/>
      <c r="C207" s="207" t="n"/>
      <c r="D207" s="362" t="n"/>
      <c r="E207" s="362" t="n"/>
      <c r="F207" s="362" t="n"/>
      <c r="G207" s="362" t="n"/>
      <c r="H207" s="362" t="n"/>
      <c r="I207" s="362" t="n"/>
      <c r="J207" s="362" t="n"/>
      <c r="K207" s="362" t="n"/>
      <c r="L207" s="362" t="n"/>
      <c r="M207" s="362" t="n"/>
    </row>
    <row r="208" customFormat="1" s="155">
      <c r="A208" s="37" t="n"/>
      <c r="B208" s="224" t="n"/>
      <c r="C208" s="207" t="n"/>
      <c r="D208" s="362" t="n"/>
      <c r="E208" s="362" t="n"/>
      <c r="F208" s="362" t="n"/>
      <c r="G208" s="362" t="n"/>
      <c r="H208" s="362" t="n"/>
      <c r="I208" s="362" t="n"/>
      <c r="J208" s="362" t="n"/>
      <c r="K208" s="362" t="n"/>
      <c r="L208" s="362" t="n"/>
      <c r="M208" s="362" t="n"/>
    </row>
    <row r="209" customFormat="1" s="155">
      <c r="A209" s="37" t="n"/>
      <c r="B209" s="224" t="n"/>
      <c r="C209" s="207" t="n"/>
      <c r="D209" s="362" t="n"/>
      <c r="E209" s="362" t="n"/>
      <c r="F209" s="362" t="n"/>
      <c r="G209" s="362" t="n"/>
      <c r="H209" s="362" t="n"/>
      <c r="I209" s="362" t="n"/>
      <c r="J209" s="362" t="n"/>
      <c r="K209" s="362" t="n"/>
      <c r="L209" s="362" t="n"/>
      <c r="M209" s="362" t="n"/>
    </row>
    <row r="210" customFormat="1" s="155">
      <c r="A210" s="37" t="n"/>
      <c r="B210" s="224" t="n"/>
      <c r="C210" s="207" t="n"/>
      <c r="D210" s="362" t="n"/>
      <c r="E210" s="362" t="n"/>
      <c r="F210" s="362" t="n"/>
      <c r="G210" s="362" t="n"/>
      <c r="H210" s="362" t="n"/>
      <c r="I210" s="362" t="n"/>
      <c r="J210" s="362" t="n"/>
      <c r="K210" s="362" t="n"/>
      <c r="L210" s="362" t="n"/>
      <c r="M210" s="362" t="n"/>
    </row>
    <row r="211" customFormat="1" s="155">
      <c r="A211" s="37" t="n"/>
      <c r="B211" s="224" t="n"/>
      <c r="C211" s="207" t="n"/>
      <c r="D211" s="362" t="n"/>
      <c r="E211" s="362" t="n"/>
      <c r="F211" s="362" t="n"/>
      <c r="G211" s="362" t="n"/>
      <c r="H211" s="362" t="n"/>
      <c r="I211" s="362" t="n"/>
      <c r="J211" s="362" t="n"/>
      <c r="K211" s="362" t="n"/>
      <c r="L211" s="362" t="n"/>
      <c r="M211" s="362" t="n"/>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ageMargins left="0.4724409448818898" right="0.4724409448818898" top="0.4724409448818898" bottom="0.4583333333333333" header="0.3149606299212598" footer="0.3149606299212598"/>
  <pageSetup orientation="landscape" paperSize="9" fitToHeight="0" blackAndWhite="1" horizontalDpi="300" verticalDpi="300"/>
  <rowBreaks count="4" manualBreakCount="4">
    <brk id="3" min="0" max="16383" man="1"/>
    <brk id="59" min="0" max="16383" man="1"/>
    <brk id="114" min="0" max="12" man="1"/>
    <brk id="139" min="0" max="16383" man="1"/>
  </rowBreaks>
</worksheet>
</file>

<file path=xl/worksheets/sheet9.xml><?xml version="1.0" encoding="utf-8"?>
<worksheet xmlns="http://schemas.openxmlformats.org/spreadsheetml/2006/main">
  <sheetPr>
    <tabColor rgb="FFFF0000"/>
    <outlinePr summaryBelow="1" summaryRight="1"/>
    <pageSetUpPr/>
  </sheetPr>
  <dimension ref="A1:Z89"/>
  <sheetViews>
    <sheetView tabSelected="1" workbookViewId="0">
      <selection activeCell="F9" sqref="F9"/>
    </sheetView>
  </sheetViews>
  <sheetFormatPr baseColWidth="8" defaultColWidth="9.109375" defaultRowHeight="13.8"/>
  <cols>
    <col width="32.33203125" customWidth="1" style="368" min="1" max="1"/>
    <col width="10.5546875" customWidth="1" style="322" min="2" max="2"/>
    <col width="12.33203125" customWidth="1" style="16" min="3" max="3"/>
    <col width="10.5546875" customWidth="1" style="322" min="4" max="12"/>
    <col width="9.109375" customWidth="1" style="370" min="13" max="13"/>
    <col width="9.109375" customWidth="1" style="405" min="14" max="16384"/>
  </cols>
  <sheetData>
    <row r="1" customFormat="1" s="405">
      <c r="A1" s="459" t="inlineStr">
        <is>
          <t>3B - Rentabilitatea investiției</t>
        </is>
      </c>
      <c r="G1" s="321" t="n"/>
      <c r="H1" s="321" t="n"/>
      <c r="I1" s="321" t="n"/>
      <c r="J1" s="321" t="n"/>
      <c r="K1" s="321" t="n"/>
      <c r="L1" s="322" t="n"/>
      <c r="M1" s="370" t="n"/>
    </row>
    <row r="2" customFormat="1" s="405">
      <c r="A2" s="522" t="inlineStr">
        <is>
          <t>In acest tabel sunt inregistrate incasarile si platile aferente activitatilor de exploatare si de investitii generate exclusiv de proiectul de investitie</t>
        </is>
      </c>
      <c r="L2" s="322" t="n"/>
      <c r="M2" s="370" t="n"/>
    </row>
    <row r="3" customFormat="1" s="405">
      <c r="A3" s="522" t="n"/>
      <c r="B3" s="522" t="n"/>
      <c r="C3" s="522" t="n"/>
      <c r="D3" s="522" t="n"/>
      <c r="E3" s="522" t="n"/>
      <c r="F3" s="522" t="n"/>
      <c r="G3" s="522" t="n"/>
      <c r="H3" s="522" t="n"/>
      <c r="I3" s="522" t="n"/>
      <c r="J3" s="522" t="n"/>
      <c r="K3" s="522" t="n"/>
      <c r="L3" s="322" t="n"/>
      <c r="M3" s="370" t="n"/>
    </row>
    <row r="4" ht="24" customFormat="1" customHeight="1" s="405">
      <c r="A4" s="388" t="inlineStr">
        <is>
          <t>TVA eligibil (nedeductibil) ?
(selecteaza)</t>
        </is>
      </c>
      <c r="B4" s="389" t="inlineStr">
        <is>
          <t>NU</t>
        </is>
      </c>
      <c r="C4" s="522" t="n"/>
      <c r="D4" s="522" t="n"/>
      <c r="E4" s="522" t="n"/>
      <c r="F4" s="522" t="n"/>
      <c r="G4" s="522" t="n"/>
      <c r="H4" s="522" t="n"/>
      <c r="I4" s="522" t="n"/>
      <c r="J4" s="522" t="n"/>
      <c r="K4" s="522" t="n"/>
      <c r="L4" s="322" t="n"/>
      <c r="M4" s="370" t="n"/>
    </row>
    <row r="5">
      <c r="C5" s="382" t="n"/>
    </row>
    <row r="6">
      <c r="A6" s="323" t="inlineStr">
        <is>
          <t>Rata de actualizare financiară</t>
        </is>
      </c>
      <c r="B6" s="324" t="n">
        <v>0.04</v>
      </c>
      <c r="C6" s="527" t="inlineStr">
        <is>
          <t>Implementare si operare (ani)</t>
        </is>
      </c>
      <c r="D6" s="552" t="n"/>
      <c r="E6" s="552" t="n"/>
      <c r="F6" s="553" t="n"/>
      <c r="G6" s="370" t="n"/>
      <c r="H6" s="405" t="n"/>
      <c r="I6" s="405" t="n"/>
      <c r="J6" s="405" t="n"/>
      <c r="K6" s="405" t="n"/>
      <c r="L6" s="405" t="n"/>
      <c r="M6" s="405" t="n"/>
    </row>
    <row r="7" customFormat="1" s="113">
      <c r="A7" s="366" t="n"/>
      <c r="B7" s="23" t="inlineStr">
        <is>
          <t>Total</t>
        </is>
      </c>
      <c r="C7" s="23" t="n">
        <v>1</v>
      </c>
      <c r="D7" s="23" t="n">
        <v>2</v>
      </c>
      <c r="E7" s="23" t="n">
        <v>3</v>
      </c>
      <c r="F7" s="23" t="n">
        <v>4</v>
      </c>
      <c r="G7" s="90" t="n"/>
    </row>
    <row r="8" ht="14.4" customFormat="1" customHeight="1" s="330">
      <c r="A8" s="326" t="inlineStr">
        <is>
          <t>Total incasari din exploatare</t>
        </is>
      </c>
      <c r="B8" s="202">
        <f>SUM(C8:F8)</f>
        <v/>
      </c>
      <c r="C8" s="331">
        <f>'3A-Proiectii_fin_investitie'!D149</f>
        <v/>
      </c>
      <c r="D8" s="331">
        <f>'3A-Proiectii_fin_investitie'!E149</f>
        <v/>
      </c>
      <c r="E8" s="331">
        <f>'3A-Proiectii_fin_investitie'!F149</f>
        <v/>
      </c>
      <c r="F8" s="331">
        <f>'3A-Proiectii_fin_investitie'!G149</f>
        <v/>
      </c>
      <c r="G8" s="328" t="n"/>
      <c r="K8" s="330" t="n"/>
    </row>
    <row r="9" ht="14.4" customFormat="1" customHeight="1" s="330">
      <c r="A9" s="326" t="inlineStr">
        <is>
          <t>Valoare reziduala*</t>
        </is>
      </c>
      <c r="B9" s="202">
        <f>SUM(C9:F9)</f>
        <v/>
      </c>
      <c r="C9" s="331" t="n"/>
      <c r="D9" s="331" t="n"/>
      <c r="E9" s="331" t="n"/>
      <c r="F9" s="331" t="n">
        <v>0</v>
      </c>
      <c r="G9" s="328" t="n"/>
      <c r="K9" s="330" t="n"/>
    </row>
    <row r="10" ht="14.4" customFormat="1" customHeight="1" s="336">
      <c r="A10" s="332" t="inlineStr">
        <is>
          <t>Incasari totale</t>
        </is>
      </c>
      <c r="B10" s="204">
        <f>SUM(C10:F10)</f>
        <v/>
      </c>
      <c r="C10" s="333">
        <f>SUM(C8:C9)</f>
        <v/>
      </c>
      <c r="D10" s="333">
        <f>SUM(D8:D9)</f>
        <v/>
      </c>
      <c r="E10" s="333">
        <f>SUM(E8:E9)</f>
        <v/>
      </c>
      <c r="F10" s="333">
        <f>SUM(F8:F9)</f>
        <v/>
      </c>
      <c r="G10" s="334" t="n"/>
      <c r="K10" s="336" t="n"/>
    </row>
    <row r="11" ht="14.4" customFormat="1" customHeight="1" s="330">
      <c r="A11" s="326" t="inlineStr">
        <is>
          <t>Total plati din exploatare</t>
        </is>
      </c>
      <c r="B11" s="202">
        <f>SUM(C11:F11)</f>
        <v/>
      </c>
      <c r="C11" s="202">
        <f>'3A-Proiectii_fin_investitie'!D165-'3A-Proiectii_fin_investitie'!D164</f>
        <v/>
      </c>
      <c r="D11" s="202">
        <f>'3A-Proiectii_fin_investitie'!E165-'3A-Proiectii_fin_investitie'!E164</f>
        <v/>
      </c>
      <c r="E11" s="202">
        <f>'3A-Proiectii_fin_investitie'!F165-'3A-Proiectii_fin_investitie'!F164</f>
        <v/>
      </c>
      <c r="F11" s="202">
        <f>'3A-Proiectii_fin_investitie'!G165-'3A-Proiectii_fin_investitie'!G164</f>
        <v/>
      </c>
      <c r="G11" s="328" t="n"/>
      <c r="K11" s="330" t="n"/>
    </row>
    <row r="12" ht="14.4" customFormat="1" customHeight="1" s="330">
      <c r="A12" s="326" t="inlineStr">
        <is>
          <t>Investitie</t>
        </is>
      </c>
      <c r="B12" s="202">
        <f>SUM(C12:F12)</f>
        <v/>
      </c>
      <c r="C12" s="202">
        <f>'3A-Proiectii_fin_investitie'!D189</f>
        <v/>
      </c>
      <c r="D12" s="202">
        <f>'3A-Proiectii_fin_investitie'!E189</f>
        <v/>
      </c>
      <c r="E12" s="202">
        <f>'3A-Proiectii_fin_investitie'!F189</f>
        <v/>
      </c>
      <c r="F12" s="202">
        <f>'3A-Proiectii_fin_investitie'!G189</f>
        <v/>
      </c>
      <c r="G12" s="328" t="n"/>
      <c r="K12" s="330" t="n"/>
    </row>
    <row r="13" ht="14.4" customFormat="1" customHeight="1" s="330">
      <c r="A13" s="326" t="inlineStr">
        <is>
          <t>Regularizare TVA</t>
        </is>
      </c>
      <c r="B13" s="202">
        <f>SUM(C13:F13)</f>
        <v/>
      </c>
      <c r="C13" s="202">
        <f>IF($B$4="NU",-'2B-Investitie'!E25+'3A-Proiectii_fin_investitie'!D167-'3A-Proiectii_fin_investitie'!D168,0)</f>
        <v/>
      </c>
      <c r="D13" s="202">
        <f>IF($B$4="NU",-'2B-Investitie'!F25+'3A-Proiectii_fin_investitie'!E167-'3A-Proiectii_fin_investitie'!E168,0)</f>
        <v/>
      </c>
      <c r="E13" s="202">
        <f>IF($B$4="NU",-'2B-Investitie'!G25+'3A-Proiectii_fin_investitie'!F167-'3A-Proiectii_fin_investitie'!F168,0)</f>
        <v/>
      </c>
      <c r="F13" s="202">
        <f>IF($B$4="NU",-'2B-Investitie'!H25+'3A-Proiectii_fin_investitie'!G167-'3A-Proiectii_fin_investitie'!G168,0)</f>
        <v/>
      </c>
      <c r="G13" s="328" t="n"/>
      <c r="K13" s="330" t="n"/>
    </row>
    <row r="14" ht="14.4" customFormat="1" customHeight="1" s="336">
      <c r="A14" s="332" t="inlineStr">
        <is>
          <t>Plati totale</t>
        </is>
      </c>
      <c r="B14" s="204">
        <f>SUM(C14:F14)</f>
        <v/>
      </c>
      <c r="C14" s="204">
        <f>SUM(C11:C13)</f>
        <v/>
      </c>
      <c r="D14" s="204">
        <f>SUM(D11:D13)</f>
        <v/>
      </c>
      <c r="E14" s="204">
        <f>SUM(E11:E13)</f>
        <v/>
      </c>
      <c r="F14" s="204">
        <f>SUM(F11:F13)</f>
        <v/>
      </c>
      <c r="G14" s="334" t="n"/>
      <c r="K14" s="336" t="n"/>
    </row>
    <row r="15" ht="14.4" customFormat="1" customHeight="1" s="336">
      <c r="A15" s="332" t="inlineStr">
        <is>
          <t>Flux de numerar net</t>
        </is>
      </c>
      <c r="B15" s="204">
        <f>SUM(C15:F15)</f>
        <v/>
      </c>
      <c r="C15" s="204">
        <f>C10-C14</f>
        <v/>
      </c>
      <c r="D15" s="204">
        <f>D10-D14</f>
        <v/>
      </c>
      <c r="E15" s="204">
        <f>E10-E14</f>
        <v/>
      </c>
      <c r="F15" s="204">
        <f>F10-F14</f>
        <v/>
      </c>
      <c r="G15" s="334" t="n"/>
      <c r="K15" s="336" t="n"/>
    </row>
    <row r="16" ht="14.4" customFormat="1" customHeight="1" s="339">
      <c r="A16" s="332" t="inlineStr">
        <is>
          <t>Flux de numerar net actualizat</t>
        </is>
      </c>
      <c r="B16" s="204">
        <f>SUM(C16:F16)</f>
        <v/>
      </c>
      <c r="C16" s="204">
        <f>C15*POWER(1+$B$6,-C7)</f>
        <v/>
      </c>
      <c r="D16" s="204">
        <f>D15*POWER(1+$B$6,-D7)</f>
        <v/>
      </c>
      <c r="E16" s="204">
        <f>E15*POWER(1+$B$6,-E7)</f>
        <v/>
      </c>
      <c r="F16" s="204">
        <f>F15*POWER(1+$B$6,-F7)</f>
        <v/>
      </c>
      <c r="G16" s="337" t="n"/>
      <c r="K16" s="339" t="n"/>
    </row>
    <row r="17" ht="14.4" customFormat="1" customHeight="1" s="336">
      <c r="A17" s="332" t="inlineStr">
        <is>
          <t>Investitie actualizata</t>
        </is>
      </c>
      <c r="B17" s="204">
        <f>SUM(C17:F17)</f>
        <v/>
      </c>
      <c r="C17" s="204">
        <f>IF($B$4="NU",(C12-'2B-Investitie'!E25)*POWER(1+$B$6,-C7),C12*POWER(1+$B$6,-C7))</f>
        <v/>
      </c>
      <c r="D17" s="204">
        <f>IF($B$4="NU",(D12-'2B-Investitie'!F25)*POWER(1+$B$6,-D7),D12*POWER(1+$B$6,-D7))</f>
        <v/>
      </c>
      <c r="E17" s="204">
        <f>IF($B$4="NU",(E12-'2B-Investitie'!G25)*POWER(1+$B$6,-E7),E12*POWER(1+$B$6,-E7))</f>
        <v/>
      </c>
      <c r="F17" s="204">
        <f>IF($B$4="NU",(F12-'2B-Investitie'!H25)*POWER(1+$B$6,-F7),F12*POWER(1+$B$6,-F7))</f>
        <v/>
      </c>
      <c r="G17" s="334" t="n"/>
      <c r="K17" s="336" t="n"/>
    </row>
    <row r="18" ht="15.6" customFormat="1" customHeight="1" s="344">
      <c r="A18" s="340" t="inlineStr">
        <is>
          <t>VANF (valoarea actualizata neta financiara)</t>
        </is>
      </c>
      <c r="B18" s="250">
        <f>SUM(C16:F16)</f>
        <v/>
      </c>
      <c r="C18" s="341" t="n"/>
      <c r="D18" s="363" t="n"/>
      <c r="E18" s="342" t="n"/>
      <c r="F18" s="342" t="n"/>
      <c r="G18" s="342" t="n"/>
      <c r="H18" s="342" t="n"/>
      <c r="I18" s="342" t="n"/>
      <c r="J18" s="342" t="n"/>
      <c r="K18" s="342" t="n"/>
      <c r="L18" s="342" t="n"/>
      <c r="M18" s="334" t="n"/>
      <c r="Q18" s="344" t="n"/>
    </row>
    <row r="19" ht="15.6" customFormat="1" customHeight="1" s="344">
      <c r="A19" s="332" t="inlineStr">
        <is>
          <t>RIRF (rata interna de rentabilitate financiara)</t>
        </is>
      </c>
      <c r="B19" s="345">
        <f>IFERROR(IRR(C15:F15),"")</f>
        <v/>
      </c>
      <c r="C19" s="395">
        <f>(IRR(C15:F15))</f>
        <v/>
      </c>
      <c r="D19" s="363" t="n"/>
      <c r="E19" s="342" t="n"/>
      <c r="F19" s="342" t="n"/>
      <c r="G19" s="342" t="n"/>
      <c r="H19" s="342" t="n"/>
      <c r="I19" s="342" t="n"/>
      <c r="J19" s="342" t="n"/>
      <c r="K19" s="342" t="n"/>
      <c r="L19" s="342" t="n"/>
      <c r="M19" s="334" t="n"/>
      <c r="Q19" s="344" t="n"/>
    </row>
    <row r="20">
      <c r="A20" s="346" t="n"/>
      <c r="B20" s="347" t="n"/>
      <c r="C20" s="347" t="n"/>
      <c r="D20" s="347" t="n"/>
      <c r="E20" s="347" t="n"/>
      <c r="F20" s="322" t="n"/>
    </row>
    <row r="22" ht="64.5" customFormat="1" customHeight="1" s="159">
      <c r="A22" s="526" t="inlineStr">
        <is>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is>
      </c>
      <c r="M22" s="370" t="n"/>
    </row>
    <row r="23" customFormat="1" s="159">
      <c r="A23" s="160" t="n"/>
      <c r="B23" s="161" t="n"/>
      <c r="C23" s="161" t="n"/>
      <c r="D23" s="161" t="n"/>
      <c r="E23" s="161" t="n"/>
      <c r="F23" s="161" t="n"/>
      <c r="G23" s="161" t="n"/>
      <c r="H23" s="161" t="n"/>
      <c r="I23" s="161" t="n"/>
      <c r="J23" s="161" t="n"/>
      <c r="K23" s="162" t="n"/>
      <c r="L23" s="162" t="n"/>
      <c r="M23" s="370" t="n"/>
    </row>
    <row r="24" ht="36" customFormat="1" customHeight="1" s="159">
      <c r="A24" s="521" t="inlineStr">
        <is>
          <t>Activ</t>
        </is>
      </c>
      <c r="B24" s="262" t="inlineStr">
        <is>
          <t>Valoare de inventar (lei)</t>
        </is>
      </c>
      <c r="C24" s="262" t="inlineStr">
        <is>
          <t>Pondere (%)</t>
        </is>
      </c>
      <c r="D24" s="262" t="inlineStr">
        <is>
          <t>Durata de viata (ani)</t>
        </is>
      </c>
      <c r="E24" s="262" t="inlineStr">
        <is>
          <t>Durata de viata medie (ani)</t>
        </is>
      </c>
      <c r="G24" s="161" t="n"/>
      <c r="H24" s="161" t="n"/>
      <c r="I24" s="161" t="n"/>
      <c r="J24" s="161" t="n"/>
      <c r="K24" s="162" t="n"/>
      <c r="L24" s="162" t="n"/>
      <c r="M24" s="370" t="n"/>
    </row>
    <row r="25" customFormat="1" s="159">
      <c r="A25" s="240" t="inlineStr">
        <is>
          <t>[completați cu denumirea activului]</t>
        </is>
      </c>
      <c r="B25" s="234" t="n">
        <v>712256</v>
      </c>
      <c r="C25" s="235">
        <f>B25/$B$56</f>
        <v/>
      </c>
      <c r="D25" s="234" t="n">
        <v>12</v>
      </c>
      <c r="E25" s="236">
        <f>ROUND(C25*D25,0)</f>
        <v/>
      </c>
      <c r="G25" s="161" t="n"/>
      <c r="H25" s="161" t="n"/>
      <c r="I25" s="161" t="n"/>
      <c r="J25" s="161" t="n"/>
      <c r="K25" s="162" t="n"/>
      <c r="L25" s="162" t="n"/>
      <c r="M25" s="370" t="n"/>
    </row>
    <row r="26" customFormat="1" s="159">
      <c r="A26" s="240" t="inlineStr">
        <is>
          <t>[completați cu denumirea activului]</t>
        </is>
      </c>
      <c r="B26" s="234" t="n">
        <v>0</v>
      </c>
      <c r="C26" s="235">
        <f>B26/$B$56</f>
        <v/>
      </c>
      <c r="D26" s="234" t="n">
        <v>0</v>
      </c>
      <c r="E26" s="236">
        <f>ROUND(C26*D26,0)</f>
        <v/>
      </c>
      <c r="G26" s="161" t="n"/>
      <c r="H26" s="161" t="n"/>
      <c r="I26" s="161" t="n"/>
      <c r="J26" s="161" t="n"/>
      <c r="K26" s="162" t="n"/>
      <c r="L26" s="162" t="n"/>
      <c r="M26" s="370" t="n"/>
    </row>
    <row r="27" customFormat="1" s="159">
      <c r="A27" s="240" t="inlineStr">
        <is>
          <t>[completați cu denumirea activului]</t>
        </is>
      </c>
      <c r="B27" s="234" t="n">
        <v>0</v>
      </c>
      <c r="C27" s="235">
        <f>B27/$B$56</f>
        <v/>
      </c>
      <c r="D27" s="234" t="n">
        <v>0</v>
      </c>
      <c r="E27" s="236">
        <f>ROUND(C27*D27,0)</f>
        <v/>
      </c>
      <c r="G27" s="161" t="n"/>
      <c r="H27" s="161" t="n"/>
      <c r="I27" s="161" t="n"/>
      <c r="J27" s="161" t="n"/>
      <c r="K27" s="162" t="n"/>
      <c r="L27" s="162" t="n"/>
      <c r="M27" s="370" t="n"/>
    </row>
    <row r="28" customFormat="1" s="159">
      <c r="A28" s="240" t="inlineStr">
        <is>
          <t>[completați cu denumirea activului]</t>
        </is>
      </c>
      <c r="B28" s="234" t="n">
        <v>0</v>
      </c>
      <c r="C28" s="235">
        <f>B28/$B$56</f>
        <v/>
      </c>
      <c r="D28" s="234" t="n">
        <v>0</v>
      </c>
      <c r="E28" s="236">
        <f>ROUND(C28*D28,0)</f>
        <v/>
      </c>
      <c r="G28" s="161" t="n"/>
      <c r="H28" s="161" t="n"/>
      <c r="I28" s="161" t="n"/>
      <c r="J28" s="161" t="n"/>
      <c r="K28" s="162" t="n"/>
      <c r="L28" s="162" t="n"/>
      <c r="M28" s="370" t="n"/>
    </row>
    <row r="29" customFormat="1" s="159">
      <c r="A29" s="240" t="inlineStr">
        <is>
          <t>[completați cu denumirea activului]</t>
        </is>
      </c>
      <c r="B29" s="234" t="n">
        <v>0</v>
      </c>
      <c r="C29" s="235">
        <f>B29/$B$56</f>
        <v/>
      </c>
      <c r="D29" s="234" t="n">
        <v>0</v>
      </c>
      <c r="E29" s="236">
        <f>ROUND(C29*D29,0)</f>
        <v/>
      </c>
      <c r="G29" s="161" t="n"/>
      <c r="H29" s="161" t="n"/>
      <c r="I29" s="161" t="n"/>
      <c r="J29" s="161" t="n"/>
      <c r="K29" s="162" t="n"/>
      <c r="L29" s="162" t="n"/>
      <c r="M29" s="370" t="n"/>
    </row>
    <row r="30" customFormat="1" s="159">
      <c r="A30" s="240" t="inlineStr">
        <is>
          <t>[completați cu denumirea activului]</t>
        </is>
      </c>
      <c r="B30" s="234" t="n">
        <v>0</v>
      </c>
      <c r="C30" s="235">
        <f>B30/$B$56</f>
        <v/>
      </c>
      <c r="D30" s="234" t="n">
        <v>0</v>
      </c>
      <c r="E30" s="236">
        <f>ROUND(C30*D30,0)</f>
        <v/>
      </c>
      <c r="G30" s="161" t="n"/>
      <c r="H30" s="161" t="n"/>
      <c r="I30" s="161" t="n"/>
      <c r="J30" s="161" t="n"/>
      <c r="K30" s="162" t="n"/>
      <c r="L30" s="162" t="n"/>
      <c r="M30" s="370" t="n"/>
    </row>
    <row r="31" customFormat="1" s="159">
      <c r="A31" s="240" t="inlineStr">
        <is>
          <t>[completați cu denumirea activului]</t>
        </is>
      </c>
      <c r="B31" s="234" t="n">
        <v>0</v>
      </c>
      <c r="C31" s="235">
        <f>B31/$B$56</f>
        <v/>
      </c>
      <c r="D31" s="234" t="n">
        <v>0</v>
      </c>
      <c r="E31" s="236">
        <f>ROUND(C31*D31,0)</f>
        <v/>
      </c>
      <c r="G31" s="161" t="n"/>
      <c r="H31" s="161" t="n"/>
      <c r="I31" s="161" t="n"/>
      <c r="J31" s="161" t="n"/>
      <c r="K31" s="162" t="n"/>
      <c r="L31" s="162" t="n"/>
      <c r="M31" s="370" t="n"/>
    </row>
    <row r="32" customFormat="1" s="159">
      <c r="A32" s="240" t="inlineStr">
        <is>
          <t>[completați cu denumirea activului]</t>
        </is>
      </c>
      <c r="B32" s="234" t="n">
        <v>0</v>
      </c>
      <c r="C32" s="235">
        <f>B32/$B$56</f>
        <v/>
      </c>
      <c r="D32" s="234" t="n">
        <v>0</v>
      </c>
      <c r="E32" s="236">
        <f>ROUND(C32*D32,0)</f>
        <v/>
      </c>
      <c r="G32" s="161" t="n"/>
      <c r="H32" s="161" t="n"/>
      <c r="I32" s="161" t="n"/>
      <c r="J32" s="161" t="n"/>
      <c r="K32" s="162" t="n"/>
      <c r="L32" s="162" t="n"/>
      <c r="M32" s="370" t="n"/>
    </row>
    <row r="33" customFormat="1" s="159">
      <c r="A33" s="240" t="inlineStr">
        <is>
          <t>[completați cu denumirea activului]</t>
        </is>
      </c>
      <c r="B33" s="234" t="n">
        <v>0</v>
      </c>
      <c r="C33" s="235">
        <f>B33/$B$56</f>
        <v/>
      </c>
      <c r="D33" s="234" t="n">
        <v>0</v>
      </c>
      <c r="E33" s="236">
        <f>ROUND(C33*D33,0)</f>
        <v/>
      </c>
      <c r="G33" s="161" t="n"/>
      <c r="H33" s="161" t="n"/>
      <c r="I33" s="161" t="n"/>
      <c r="J33" s="161" t="n"/>
      <c r="K33" s="162" t="n"/>
      <c r="L33" s="162" t="n"/>
      <c r="M33" s="370" t="n"/>
    </row>
    <row r="34" customFormat="1" s="159">
      <c r="A34" s="240" t="inlineStr">
        <is>
          <t>[completați cu denumirea activului]</t>
        </is>
      </c>
      <c r="B34" s="234" t="n">
        <v>0</v>
      </c>
      <c r="C34" s="235">
        <f>B34/$B$56</f>
        <v/>
      </c>
      <c r="D34" s="234" t="n">
        <v>0</v>
      </c>
      <c r="E34" s="236">
        <f>ROUND(C34*D34,0)</f>
        <v/>
      </c>
      <c r="G34" s="161" t="n"/>
      <c r="H34" s="161" t="n"/>
      <c r="I34" s="161" t="n"/>
      <c r="J34" s="161" t="n"/>
      <c r="K34" s="162" t="n"/>
      <c r="L34" s="162" t="n"/>
      <c r="M34" s="370" t="n"/>
    </row>
    <row r="35" customFormat="1" s="159">
      <c r="A35" s="240" t="inlineStr">
        <is>
          <t>[completați cu denumirea activului]</t>
        </is>
      </c>
      <c r="B35" s="234" t="n">
        <v>0</v>
      </c>
      <c r="C35" s="235">
        <f>B35/$B$56</f>
        <v/>
      </c>
      <c r="D35" s="234" t="n">
        <v>0</v>
      </c>
      <c r="E35" s="236">
        <f>ROUND(C35*D35,0)</f>
        <v/>
      </c>
      <c r="G35" s="161" t="n"/>
      <c r="H35" s="161" t="n"/>
      <c r="I35" s="161" t="n"/>
      <c r="J35" s="161" t="n"/>
      <c r="K35" s="162" t="n"/>
      <c r="L35" s="162" t="n"/>
      <c r="M35" s="370" t="n"/>
    </row>
    <row r="36" customFormat="1" s="159">
      <c r="A36" s="240" t="inlineStr">
        <is>
          <t>[completați cu denumirea activului]</t>
        </is>
      </c>
      <c r="B36" s="234" t="n">
        <v>0</v>
      </c>
      <c r="C36" s="235">
        <f>B36/$B$56</f>
        <v/>
      </c>
      <c r="D36" s="234" t="n">
        <v>0</v>
      </c>
      <c r="E36" s="236">
        <f>ROUND(C36*D36,0)</f>
        <v/>
      </c>
      <c r="G36" s="161" t="n"/>
      <c r="H36" s="161" t="n"/>
      <c r="I36" s="161" t="n"/>
      <c r="J36" s="161" t="n"/>
      <c r="K36" s="162" t="n"/>
      <c r="L36" s="162" t="n"/>
      <c r="M36" s="370" t="n"/>
    </row>
    <row r="37" customFormat="1" s="159">
      <c r="A37" s="240" t="inlineStr">
        <is>
          <t>[completați cu denumirea activului]</t>
        </is>
      </c>
      <c r="B37" s="234" t="n">
        <v>0</v>
      </c>
      <c r="C37" s="235">
        <f>B37/$B$56</f>
        <v/>
      </c>
      <c r="D37" s="234" t="n">
        <v>0</v>
      </c>
      <c r="E37" s="236">
        <f>ROUND(C37*D37,0)</f>
        <v/>
      </c>
      <c r="G37" s="161" t="n"/>
      <c r="H37" s="161" t="n"/>
      <c r="I37" s="161" t="n"/>
      <c r="J37" s="161" t="n"/>
      <c r="K37" s="162" t="n"/>
      <c r="L37" s="162" t="n"/>
      <c r="M37" s="370" t="n"/>
    </row>
    <row r="38" customFormat="1" s="159">
      <c r="A38" s="240" t="inlineStr">
        <is>
          <t>[completați cu denumirea activului]</t>
        </is>
      </c>
      <c r="B38" s="234" t="n">
        <v>0</v>
      </c>
      <c r="C38" s="235">
        <f>B38/$B$56</f>
        <v/>
      </c>
      <c r="D38" s="234" t="n">
        <v>0</v>
      </c>
      <c r="E38" s="236">
        <f>ROUND(C38*D38,0)</f>
        <v/>
      </c>
      <c r="G38" s="161" t="n"/>
      <c r="H38" s="161" t="n"/>
      <c r="I38" s="161" t="n"/>
      <c r="J38" s="161" t="n"/>
      <c r="K38" s="162" t="n"/>
      <c r="L38" s="162" t="n"/>
      <c r="M38" s="370" t="n"/>
    </row>
    <row r="39" customFormat="1" s="159">
      <c r="A39" s="240" t="inlineStr">
        <is>
          <t>[completați cu denumirea activului]</t>
        </is>
      </c>
      <c r="B39" s="234" t="n">
        <v>0</v>
      </c>
      <c r="C39" s="235">
        <f>B39/$B$56</f>
        <v/>
      </c>
      <c r="D39" s="234" t="n">
        <v>0</v>
      </c>
      <c r="E39" s="236">
        <f>ROUND(C39*D39,0)</f>
        <v/>
      </c>
      <c r="G39" s="161" t="n"/>
      <c r="H39" s="161" t="n"/>
      <c r="I39" s="161" t="n"/>
      <c r="J39" s="161" t="n"/>
      <c r="K39" s="162" t="n"/>
      <c r="L39" s="162" t="n"/>
      <c r="M39" s="370" t="n"/>
    </row>
    <row r="40" customFormat="1" s="159">
      <c r="A40" s="240" t="inlineStr">
        <is>
          <t>[completați cu denumirea activului]</t>
        </is>
      </c>
      <c r="B40" s="234" t="n">
        <v>0</v>
      </c>
      <c r="C40" s="235">
        <f>B40/$B$56</f>
        <v/>
      </c>
      <c r="D40" s="234" t="n">
        <v>0</v>
      </c>
      <c r="E40" s="236">
        <f>ROUND(C40*D40,0)</f>
        <v/>
      </c>
      <c r="G40" s="161" t="n"/>
      <c r="H40" s="161" t="n"/>
      <c r="I40" s="161" t="n"/>
      <c r="J40" s="161" t="n"/>
      <c r="K40" s="162" t="n"/>
      <c r="L40" s="162" t="n"/>
      <c r="M40" s="370" t="n"/>
    </row>
    <row r="41" customFormat="1" s="159">
      <c r="A41" s="240" t="inlineStr">
        <is>
          <t>[completați cu denumirea activului]</t>
        </is>
      </c>
      <c r="B41" s="234" t="n">
        <v>0</v>
      </c>
      <c r="C41" s="235">
        <f>B41/$B$56</f>
        <v/>
      </c>
      <c r="D41" s="234" t="n">
        <v>0</v>
      </c>
      <c r="E41" s="236">
        <f>ROUND(C41*D41,0)</f>
        <v/>
      </c>
      <c r="G41" s="161" t="n"/>
      <c r="H41" s="161" t="n"/>
      <c r="I41" s="161" t="n"/>
      <c r="J41" s="161" t="n"/>
      <c r="K41" s="162" t="n"/>
      <c r="L41" s="162" t="n"/>
      <c r="M41" s="370" t="n"/>
    </row>
    <row r="42" customFormat="1" s="159">
      <c r="A42" s="240" t="inlineStr">
        <is>
          <t>[completați cu denumirea activului]</t>
        </is>
      </c>
      <c r="B42" s="234" t="n">
        <v>0</v>
      </c>
      <c r="C42" s="235">
        <f>B42/$B$56</f>
        <v/>
      </c>
      <c r="D42" s="234" t="n">
        <v>0</v>
      </c>
      <c r="E42" s="236">
        <f>ROUND(C42*D42,0)</f>
        <v/>
      </c>
      <c r="G42" s="161" t="n"/>
      <c r="H42" s="161" t="n"/>
      <c r="I42" s="161" t="n"/>
      <c r="J42" s="161" t="n"/>
      <c r="K42" s="162" t="n"/>
      <c r="L42" s="162" t="n"/>
      <c r="M42" s="370" t="n"/>
    </row>
    <row r="43" customFormat="1" s="159">
      <c r="A43" s="240" t="inlineStr">
        <is>
          <t>[completați cu denumirea activului]</t>
        </is>
      </c>
      <c r="B43" s="234" t="n">
        <v>0</v>
      </c>
      <c r="C43" s="235">
        <f>B43/$B$56</f>
        <v/>
      </c>
      <c r="D43" s="234" t="n">
        <v>0</v>
      </c>
      <c r="E43" s="236">
        <f>ROUND(C43*D43,0)</f>
        <v/>
      </c>
      <c r="G43" s="161" t="n"/>
      <c r="H43" s="161" t="n"/>
      <c r="I43" s="161" t="n"/>
      <c r="J43" s="161" t="n"/>
      <c r="K43" s="162" t="n"/>
      <c r="L43" s="162" t="n"/>
      <c r="M43" s="370" t="n"/>
    </row>
    <row r="44" customFormat="1" s="159">
      <c r="A44" s="240" t="inlineStr">
        <is>
          <t>[completați cu denumirea activului]</t>
        </is>
      </c>
      <c r="B44" s="234" t="n">
        <v>0</v>
      </c>
      <c r="C44" s="235">
        <f>B44/$B$56</f>
        <v/>
      </c>
      <c r="D44" s="234" t="n">
        <v>0</v>
      </c>
      <c r="E44" s="236">
        <f>ROUND(C44*D44,0)</f>
        <v/>
      </c>
      <c r="G44" s="161" t="n"/>
      <c r="H44" s="161" t="n"/>
      <c r="I44" s="161" t="n"/>
      <c r="J44" s="161" t="n"/>
      <c r="K44" s="162" t="n"/>
      <c r="L44" s="162" t="n"/>
      <c r="M44" s="370" t="n"/>
    </row>
    <row r="45" customFormat="1" s="159">
      <c r="A45" s="240" t="inlineStr">
        <is>
          <t>[completați cu denumirea activului]</t>
        </is>
      </c>
      <c r="B45" s="234" t="n">
        <v>0</v>
      </c>
      <c r="C45" s="235">
        <f>B45/$B$56</f>
        <v/>
      </c>
      <c r="D45" s="234" t="n">
        <v>0</v>
      </c>
      <c r="E45" s="236">
        <f>ROUND(C45*D45,0)</f>
        <v/>
      </c>
      <c r="G45" s="161" t="n"/>
      <c r="H45" s="161" t="n"/>
      <c r="I45" s="161" t="n"/>
      <c r="J45" s="161" t="n"/>
      <c r="K45" s="162" t="n"/>
      <c r="L45" s="162" t="n"/>
      <c r="M45" s="370" t="n"/>
    </row>
    <row r="46" customFormat="1" s="159">
      <c r="A46" s="240" t="inlineStr">
        <is>
          <t>[completați cu denumirea activului]</t>
        </is>
      </c>
      <c r="B46" s="234" t="n">
        <v>0</v>
      </c>
      <c r="C46" s="235">
        <f>B46/$B$56</f>
        <v/>
      </c>
      <c r="D46" s="234" t="n">
        <v>0</v>
      </c>
      <c r="E46" s="236">
        <f>ROUND(C46*D46,0)</f>
        <v/>
      </c>
      <c r="G46" s="161" t="n"/>
      <c r="H46" s="161" t="n"/>
      <c r="I46" s="161" t="n"/>
      <c r="J46" s="161" t="n"/>
      <c r="K46" s="162" t="n"/>
      <c r="L46" s="162" t="n"/>
      <c r="M46" s="370" t="n"/>
    </row>
    <row r="47" customFormat="1" s="159">
      <c r="A47" s="240" t="inlineStr">
        <is>
          <t>[completați cu denumirea activului]</t>
        </is>
      </c>
      <c r="B47" s="234" t="n">
        <v>0</v>
      </c>
      <c r="C47" s="235">
        <f>B47/$B$56</f>
        <v/>
      </c>
      <c r="D47" s="234" t="n">
        <v>0</v>
      </c>
      <c r="E47" s="236">
        <f>ROUND(C47*D47,0)</f>
        <v/>
      </c>
      <c r="G47" s="161" t="n"/>
      <c r="H47" s="161" t="n"/>
      <c r="I47" s="161" t="n"/>
      <c r="J47" s="161" t="n"/>
      <c r="K47" s="162" t="n"/>
      <c r="L47" s="162" t="n"/>
      <c r="M47" s="370" t="n"/>
    </row>
    <row r="48" customFormat="1" s="159">
      <c r="A48" s="240" t="inlineStr">
        <is>
          <t>[completați cu denumirea activului]</t>
        </is>
      </c>
      <c r="B48" s="234" t="n">
        <v>0</v>
      </c>
      <c r="C48" s="235">
        <f>B48/$B$56</f>
        <v/>
      </c>
      <c r="D48" s="234" t="n">
        <v>0</v>
      </c>
      <c r="E48" s="236">
        <f>ROUND(C48*D48,0)</f>
        <v/>
      </c>
      <c r="G48" s="161" t="n"/>
      <c r="H48" s="161" t="n"/>
      <c r="I48" s="161" t="n"/>
      <c r="J48" s="161" t="n"/>
      <c r="K48" s="162" t="n"/>
      <c r="L48" s="162" t="n"/>
      <c r="M48" s="370" t="n"/>
    </row>
    <row r="49" customFormat="1" s="159">
      <c r="A49" s="240" t="inlineStr">
        <is>
          <t>[completați cu denumirea activului]</t>
        </is>
      </c>
      <c r="B49" s="234" t="n">
        <v>0</v>
      </c>
      <c r="C49" s="235">
        <f>B49/$B$56</f>
        <v/>
      </c>
      <c r="D49" s="234" t="n">
        <v>0</v>
      </c>
      <c r="E49" s="236">
        <f>ROUND(C49*D49,0)</f>
        <v/>
      </c>
      <c r="G49" s="161" t="n"/>
      <c r="H49" s="161" t="n"/>
      <c r="I49" s="161" t="n"/>
      <c r="J49" s="161" t="n"/>
      <c r="K49" s="162" t="n"/>
      <c r="L49" s="162" t="n"/>
      <c r="M49" s="370" t="n"/>
    </row>
    <row r="50" customFormat="1" s="159">
      <c r="A50" s="240" t="inlineStr">
        <is>
          <t>[completați cu denumirea activului]</t>
        </is>
      </c>
      <c r="B50" s="234" t="n">
        <v>0</v>
      </c>
      <c r="C50" s="235">
        <f>B50/$B$56</f>
        <v/>
      </c>
      <c r="D50" s="234" t="n">
        <v>0</v>
      </c>
      <c r="E50" s="236">
        <f>ROUND(C50*D50,0)</f>
        <v/>
      </c>
      <c r="G50" s="161" t="n"/>
      <c r="H50" s="161" t="n"/>
      <c r="I50" s="161" t="n"/>
      <c r="J50" s="161" t="n"/>
      <c r="K50" s="162" t="n"/>
      <c r="L50" s="162" t="n"/>
      <c r="M50" s="370" t="n"/>
    </row>
    <row r="51" customFormat="1" s="159">
      <c r="A51" s="240" t="inlineStr">
        <is>
          <t>[completați cu denumirea activului]</t>
        </is>
      </c>
      <c r="B51" s="234" t="n">
        <v>0</v>
      </c>
      <c r="C51" s="235">
        <f>B51/$B$56</f>
        <v/>
      </c>
      <c r="D51" s="234" t="n">
        <v>0</v>
      </c>
      <c r="E51" s="236">
        <f>ROUND(C51*D51,0)</f>
        <v/>
      </c>
      <c r="G51" s="161" t="n"/>
      <c r="H51" s="161" t="n"/>
      <c r="I51" s="161" t="n"/>
      <c r="J51" s="161" t="n"/>
      <c r="K51" s="162" t="n"/>
      <c r="L51" s="162" t="n"/>
      <c r="M51" s="370" t="n"/>
    </row>
    <row r="52" customFormat="1" s="159">
      <c r="A52" s="240" t="inlineStr">
        <is>
          <t>[completați cu denumirea activului]</t>
        </is>
      </c>
      <c r="B52" s="234" t="n">
        <v>0</v>
      </c>
      <c r="C52" s="235">
        <f>B52/$B$56</f>
        <v/>
      </c>
      <c r="D52" s="234" t="n">
        <v>0</v>
      </c>
      <c r="E52" s="236">
        <f>ROUND(C52*D52,0)</f>
        <v/>
      </c>
      <c r="G52" s="161" t="n"/>
      <c r="H52" s="161" t="n"/>
      <c r="I52" s="161" t="n"/>
      <c r="J52" s="161" t="n"/>
      <c r="K52" s="162" t="n"/>
      <c r="L52" s="162" t="n"/>
      <c r="M52" s="370" t="n"/>
    </row>
    <row r="53" customFormat="1" s="159">
      <c r="A53" s="240" t="inlineStr">
        <is>
          <t>[completați cu denumirea activului]</t>
        </is>
      </c>
      <c r="B53" s="234" t="n">
        <v>0</v>
      </c>
      <c r="C53" s="235">
        <f>B53/$B$56</f>
        <v/>
      </c>
      <c r="D53" s="234" t="n">
        <v>0</v>
      </c>
      <c r="E53" s="236">
        <f>ROUND(C53*D53,0)</f>
        <v/>
      </c>
      <c r="G53" s="161" t="n"/>
      <c r="H53" s="161" t="n"/>
      <c r="I53" s="161" t="n"/>
      <c r="J53" s="161" t="n"/>
      <c r="K53" s="162" t="n"/>
      <c r="L53" s="162" t="n"/>
      <c r="M53" s="370" t="n"/>
    </row>
    <row r="54" customFormat="1" s="159">
      <c r="A54" s="240" t="inlineStr">
        <is>
          <t>[completați cu denumirea activului]</t>
        </is>
      </c>
      <c r="B54" s="234" t="n">
        <v>0</v>
      </c>
      <c r="C54" s="235">
        <f>B54/$B$56</f>
        <v/>
      </c>
      <c r="D54" s="234" t="n">
        <v>0</v>
      </c>
      <c r="E54" s="236">
        <f>ROUND(C54*D54,0)</f>
        <v/>
      </c>
      <c r="G54" s="161" t="n"/>
      <c r="H54" s="161" t="n"/>
      <c r="I54" s="161" t="n"/>
      <c r="J54" s="161" t="n"/>
      <c r="K54" s="162" t="n"/>
      <c r="L54" s="162" t="n"/>
      <c r="M54" s="370" t="n"/>
    </row>
    <row r="55" customFormat="1" s="159">
      <c r="A55" s="240" t="inlineStr">
        <is>
          <t>[completați cu denumirea activului]</t>
        </is>
      </c>
      <c r="B55" s="234" t="n">
        <v>0</v>
      </c>
      <c r="C55" s="235">
        <f>B55/$B$56</f>
        <v/>
      </c>
      <c r="D55" s="234" t="n">
        <v>0</v>
      </c>
      <c r="E55" s="236">
        <f>ROUND(C55*D55,0)</f>
        <v/>
      </c>
      <c r="G55" s="161" t="n"/>
      <c r="H55" s="161" t="n"/>
      <c r="I55" s="161" t="n"/>
      <c r="J55" s="161" t="n"/>
      <c r="K55" s="162" t="n"/>
      <c r="L55" s="162" t="n"/>
      <c r="M55" s="370" t="n"/>
    </row>
    <row r="56" customFormat="1" s="159">
      <c r="A56" s="237" t="inlineStr">
        <is>
          <t>TOTAL</t>
        </is>
      </c>
      <c r="B56" s="238">
        <f>SUM(B25:B55)</f>
        <v/>
      </c>
      <c r="C56" s="239">
        <f>SUM(C25:C55)</f>
        <v/>
      </c>
      <c r="D56" s="238" t="n"/>
      <c r="E56" s="238">
        <f>SUM(E25:E55)</f>
        <v/>
      </c>
      <c r="G56" s="321" t="n"/>
      <c r="H56" s="321" t="n"/>
      <c r="I56" s="321" t="n"/>
      <c r="J56" s="321" t="n"/>
      <c r="K56" s="322" t="n"/>
      <c r="L56" s="322" t="n"/>
      <c r="M56" s="370" t="n"/>
    </row>
    <row r="57" customFormat="1" s="159">
      <c r="A57" s="160" t="n"/>
      <c r="B57" s="321" t="n"/>
      <c r="C57" s="321" t="n"/>
      <c r="D57" s="321" t="n"/>
      <c r="E57" s="321" t="n"/>
      <c r="F57" s="321" t="n"/>
      <c r="G57" s="321" t="n"/>
      <c r="H57" s="321" t="n"/>
      <c r="I57" s="321" t="n"/>
      <c r="J57" s="321" t="n"/>
      <c r="K57" s="322" t="n"/>
      <c r="L57" s="322" t="n"/>
      <c r="M57" s="370" t="n"/>
    </row>
    <row r="58" ht="12" customFormat="1" customHeight="1" s="159">
      <c r="A58" s="526" t="n"/>
      <c r="B58" s="165" t="n"/>
      <c r="C58" s="165" t="n"/>
      <c r="D58" s="165" t="n"/>
      <c r="E58" s="165" t="n"/>
      <c r="F58" s="165" t="n"/>
      <c r="G58" s="165" t="n"/>
      <c r="H58" s="165" t="n"/>
      <c r="I58" s="165" t="n"/>
      <c r="J58" s="165" t="n"/>
      <c r="K58" s="165" t="n"/>
      <c r="L58" s="369" t="n"/>
    </row>
    <row r="59" ht="12" customFormat="1" customHeight="1" s="159">
      <c r="A59" s="521" t="inlineStr">
        <is>
          <t>Fluxuri de numerar</t>
        </is>
      </c>
      <c r="B59" s="527" t="inlineStr">
        <is>
          <t>Implementare si operare (ani)</t>
        </is>
      </c>
      <c r="C59" s="552" t="n"/>
      <c r="D59" s="552" t="n"/>
      <c r="E59" s="553" t="n"/>
      <c r="F59" s="369" t="n"/>
    </row>
    <row r="60" ht="12" customFormat="1" customHeight="1" s="159">
      <c r="A60" s="558" t="n"/>
      <c r="B60" s="527" t="n">
        <v>1</v>
      </c>
      <c r="C60" s="527">
        <f>B60+1</f>
        <v/>
      </c>
      <c r="D60" s="527">
        <f>C60+1</f>
        <v/>
      </c>
      <c r="E60" s="527">
        <f>D60+1</f>
        <v/>
      </c>
      <c r="F60" s="369" t="n"/>
    </row>
    <row r="61" ht="12" customFormat="1" customHeight="1" s="159">
      <c r="A61" s="246" t="inlineStr">
        <is>
          <t>Flux de numerar net</t>
        </is>
      </c>
      <c r="B61" s="244">
        <f>C15</f>
        <v/>
      </c>
      <c r="C61" s="244">
        <f>D15</f>
        <v/>
      </c>
      <c r="D61" s="244">
        <f>E15</f>
        <v/>
      </c>
      <c r="E61" s="244">
        <f>F15</f>
        <v/>
      </c>
      <c r="F61" s="369" t="n"/>
    </row>
    <row r="62" customFormat="1" s="159">
      <c r="A62" s="246" t="inlineStr">
        <is>
          <t>Valoare reziduala</t>
        </is>
      </c>
      <c r="B62" s="244" t="n"/>
      <c r="C62" s="244" t="n"/>
      <c r="D62" s="244" t="n"/>
      <c r="E62" s="244">
        <f>IF(F8-F14&gt;0,NPV(4%,B69:K69,B73:K73,B77:K77,B81:K81,B85:G85),0)</f>
        <v/>
      </c>
      <c r="F62" s="321" t="n"/>
      <c r="G62" s="167" t="n"/>
      <c r="H62" s="370" t="n"/>
    </row>
    <row r="63" customFormat="1" s="159">
      <c r="A63" s="237" t="inlineStr">
        <is>
          <t>Total flux de numerar</t>
        </is>
      </c>
      <c r="B63" s="238">
        <f>SUM(B61:B62)</f>
        <v/>
      </c>
      <c r="C63" s="238">
        <f>SUM(C61:C62)</f>
        <v/>
      </c>
      <c r="D63" s="238">
        <f>SUM(D61:D62)</f>
        <v/>
      </c>
      <c r="E63" s="238">
        <f>SUM(E61:E62)</f>
        <v/>
      </c>
      <c r="F63" s="168" t="n"/>
      <c r="G63" s="169" t="n"/>
      <c r="H63" s="370" t="n"/>
    </row>
    <row r="66" ht="13.2" customFormat="1" customHeight="1" s="348">
      <c r="A66" s="368" t="n"/>
      <c r="B66" s="241">
        <f>IF($E$56-$E$60&gt;0,$E$56-$E$60,0)</f>
        <v/>
      </c>
      <c r="C66" s="569" t="inlineStr">
        <is>
          <t>(durata de viață post operare rămasă, în ani)</t>
        </is>
      </c>
      <c r="D66" s="555" t="n"/>
      <c r="E66" s="555" t="n"/>
      <c r="F66" s="556" t="n"/>
      <c r="G66" s="369" t="n"/>
      <c r="H66" s="369" t="n"/>
      <c r="I66" s="369" t="n"/>
      <c r="J66" s="369" t="n"/>
      <c r="K66" s="369" t="n"/>
      <c r="L66" s="369" t="n"/>
      <c r="M66" s="159" t="n"/>
      <c r="N66" s="159" t="n"/>
      <c r="O66" s="159" t="n"/>
      <c r="P66" s="159" t="n"/>
      <c r="Q66" s="159" t="n"/>
      <c r="R66" s="159" t="n"/>
      <c r="S66" s="159" t="n"/>
      <c r="T66" s="159" t="n"/>
      <c r="U66" s="159" t="n"/>
      <c r="V66" s="159" t="n"/>
      <c r="W66" s="159" t="n"/>
      <c r="X66" s="159" t="n"/>
      <c r="Y66" s="159" t="n"/>
      <c r="Z66" s="159" t="n"/>
    </row>
    <row r="67" ht="13.2" customFormat="1" customHeight="1" s="348">
      <c r="A67" s="368" t="n"/>
      <c r="B67" s="403" t="inlineStr">
        <is>
          <t>Post operare (ani)</t>
        </is>
      </c>
      <c r="C67" s="403" t="n"/>
      <c r="D67" s="403" t="n"/>
      <c r="E67" s="403" t="n"/>
      <c r="F67" s="403" t="n"/>
      <c r="G67" s="403" t="n"/>
      <c r="H67" s="403" t="n"/>
      <c r="I67" s="403" t="n"/>
      <c r="J67" s="403" t="n"/>
      <c r="K67" s="403" t="n"/>
      <c r="L67" s="369" t="n"/>
    </row>
    <row r="68" ht="13.2" customFormat="1" customHeight="1" s="348">
      <c r="A68" s="245" t="inlineStr">
        <is>
          <t>An</t>
        </is>
      </c>
      <c r="B68" s="527">
        <f>IF(B66&gt;0,1,0)</f>
        <v/>
      </c>
      <c r="C68" s="527">
        <f>IF(B68&gt;0,IF(AND(0&lt;B68,B68&lt;$B$66),B68+1,0),0)</f>
        <v/>
      </c>
      <c r="D68" s="397">
        <f>IF(C68&gt;0,IF(AND(0&lt;C68,C68&lt;$B$66),C68+1,0),0)</f>
        <v/>
      </c>
      <c r="E68" s="397">
        <f>IF(D68&gt;0,IF(AND(0&lt;D68,D68&lt;$B$66),D68+1,0),0)</f>
        <v/>
      </c>
      <c r="F68" s="397">
        <f>IF(E68&gt;0,IF(AND(0&lt;E68,E68&lt;$B$66),E68+1,0),0)</f>
        <v/>
      </c>
      <c r="G68" s="397">
        <f>IF(F68&gt;0,IF(AND(0&lt;F68,F68&lt;$B$66),F68+1,0),0)</f>
        <v/>
      </c>
      <c r="H68" s="397">
        <f>IF(G68&gt;0,IF(AND(0&lt;G68,G68&lt;$B$66),G68+1,0),0)</f>
        <v/>
      </c>
      <c r="I68" s="397">
        <f>IF(H68&gt;0,IF(AND(0&lt;H68,H68&lt;$B$66),H68+1,0),0)</f>
        <v/>
      </c>
      <c r="J68" s="397">
        <f>IF(I68&gt;0,IF(AND(0&lt;I68,I68&lt;$B$66),I68+1,0),0)</f>
        <v/>
      </c>
      <c r="K68" s="397">
        <f>IF(J68&gt;0,IF(AND(0&lt;J68,J68&lt;$B$66),J68+1,0),0)</f>
        <v/>
      </c>
      <c r="L68" s="369" t="n"/>
    </row>
    <row r="69" ht="13.2" customFormat="1" customHeight="1" s="348">
      <c r="A69" s="245" t="inlineStr">
        <is>
          <t>Flux de numerar net</t>
        </is>
      </c>
      <c r="B69" s="244">
        <f>N(AND(B68&gt;0,$E$61&gt;0)*$E$61)</f>
        <v/>
      </c>
      <c r="C69" s="244">
        <f>N(AND(C68&gt;0,$E$61&gt;0)*$E$61)</f>
        <v/>
      </c>
      <c r="D69" s="244">
        <f>N(AND(D68&gt;0,$E$61&gt;0)*$E$61)</f>
        <v/>
      </c>
      <c r="E69" s="244">
        <f>N(AND(E68&gt;0,$E$61&gt;0)*$E$61)</f>
        <v/>
      </c>
      <c r="F69" s="244">
        <f>N(AND(F68&gt;0,$E$61&gt;0)*$E$61)</f>
        <v/>
      </c>
      <c r="G69" s="244">
        <f>N(AND(G68&gt;0,$E$61&gt;0)*$E$61)</f>
        <v/>
      </c>
      <c r="H69" s="244">
        <f>N(AND(H68&gt;0,$E$61&gt;0)*$E$61)</f>
        <v/>
      </c>
      <c r="I69" s="244">
        <f>N(AND(I68&gt;0,$E$61&gt;0)*$E$61)</f>
        <v/>
      </c>
      <c r="J69" s="244">
        <f>N(AND(J68&gt;0,$E$61&gt;0)*$E$61)</f>
        <v/>
      </c>
      <c r="K69" s="244">
        <f>N(AND(K68&gt;0,$E$61&gt;0)*$E$61)</f>
        <v/>
      </c>
      <c r="L69" s="369" t="n"/>
    </row>
    <row r="70" customFormat="1" s="348">
      <c r="A70" s="349" t="n"/>
      <c r="B70" s="322" t="n"/>
      <c r="C70" s="16" t="n"/>
      <c r="D70" s="322" t="n"/>
      <c r="E70" s="322" t="n"/>
      <c r="F70" s="322" t="n"/>
      <c r="G70" s="322" t="n"/>
      <c r="H70" s="322" t="n"/>
      <c r="I70" s="322" t="n"/>
      <c r="J70" s="322" t="n"/>
      <c r="K70" s="322" t="n"/>
      <c r="L70" s="322" t="n"/>
      <c r="M70" s="370" t="n"/>
    </row>
    <row r="71" ht="13.2" customFormat="1" customHeight="1" s="348">
      <c r="A71" s="349" t="n"/>
      <c r="B71" s="397" t="inlineStr">
        <is>
          <t>Post operare (continuare)</t>
        </is>
      </c>
      <c r="C71" s="552" t="n"/>
      <c r="D71" s="552" t="n"/>
      <c r="E71" s="553" t="n"/>
      <c r="F71" s="403" t="n"/>
      <c r="G71" s="403" t="n"/>
      <c r="H71" s="403" t="n"/>
      <c r="I71" s="403" t="n"/>
      <c r="J71" s="403" t="n"/>
      <c r="K71" s="403" t="n"/>
      <c r="L71" s="369" t="n"/>
    </row>
    <row r="72" ht="13.2" customFormat="1" customHeight="1" s="348">
      <c r="A72" s="245" t="inlineStr">
        <is>
          <t>An</t>
        </is>
      </c>
      <c r="B72" s="397">
        <f>IF(K68&gt;0,IF(AND(0&lt;K68,K68&lt;$B$66),K68+1,0),0)</f>
        <v/>
      </c>
      <c r="C72" s="397">
        <f>IF(B72&gt;0,IF(AND(0&lt;B72,B72&lt;$B$66),B72+1,0),0)</f>
        <v/>
      </c>
      <c r="D72" s="397">
        <f>IF(C72&gt;0,IF(AND(0&lt;C72,C72&lt;$B$66),C72+1,0),0)</f>
        <v/>
      </c>
      <c r="E72" s="397">
        <f>IF(D72&gt;0,IF(AND(0&lt;D72,D72&lt;$B$66),D72+1,0),0)</f>
        <v/>
      </c>
      <c r="F72" s="397">
        <f>IF(E72&gt;0,IF(AND(0&lt;E72,E72&lt;$B$66),E72+1,0),0)</f>
        <v/>
      </c>
      <c r="G72" s="397">
        <f>IF(F72&gt;0,IF(AND(0&lt;F72,F72&lt;$B$66),F72+1,0),0)</f>
        <v/>
      </c>
      <c r="H72" s="397">
        <f>IF(G72&gt;0,IF(AND(0&lt;G72,G72&lt;$B$66),G72+1,0),0)</f>
        <v/>
      </c>
      <c r="I72" s="397">
        <f>IF(H72&gt;0,IF(AND(0&lt;H72,H72&lt;$B$66),H72+1,0),0)</f>
        <v/>
      </c>
      <c r="J72" s="397">
        <f>IF(I72&gt;0,IF(AND(0&lt;I72,I72&lt;$B$66),I72+1,0),0)</f>
        <v/>
      </c>
      <c r="K72" s="397">
        <f>IF(J72&gt;0,IF(AND(0&lt;J72,J72&lt;$B$66),J72+1,0),0)</f>
        <v/>
      </c>
      <c r="L72" s="369" t="n"/>
    </row>
    <row r="73" ht="13.2" customFormat="1" customHeight="1" s="348">
      <c r="A73" s="245" t="inlineStr">
        <is>
          <t>Flux de numerar net</t>
        </is>
      </c>
      <c r="B73" s="244">
        <f>N(AND(B72&gt;0,$E$61&gt;0)*$E$61)</f>
        <v/>
      </c>
      <c r="C73" s="244">
        <f>N(AND(C72&gt;0,$E$61&gt;0)*$E$61)</f>
        <v/>
      </c>
      <c r="D73" s="244">
        <f>N(AND(D72&gt;0,$E$61&gt;0)*$E$61)</f>
        <v/>
      </c>
      <c r="E73" s="244">
        <f>N(AND(E72&gt;0,$E$61&gt;0)*$E$61)</f>
        <v/>
      </c>
      <c r="F73" s="244">
        <f>N(AND(F72&gt;0,$E$61&gt;0)*$E$61)</f>
        <v/>
      </c>
      <c r="G73" s="244">
        <f>N(AND(G72&gt;0,$E$61&gt;0)*$E$61)</f>
        <v/>
      </c>
      <c r="H73" s="244">
        <f>N(AND(H72&gt;0,$E$61&gt;0)*$E$61)</f>
        <v/>
      </c>
      <c r="I73" s="244">
        <f>N(AND(I72&gt;0,$E$61&gt;0)*$E$61)</f>
        <v/>
      </c>
      <c r="J73" s="244">
        <f>N(AND(J72&gt;0,$E$61&gt;0)*$E$61)</f>
        <v/>
      </c>
      <c r="K73" s="244">
        <f>N(AND(K72&gt;0,$E$61&gt;0)*$E$61)</f>
        <v/>
      </c>
      <c r="L73" s="369" t="n"/>
    </row>
    <row r="74" customFormat="1" s="348">
      <c r="A74" s="349" t="n"/>
      <c r="B74" s="322" t="n"/>
      <c r="C74" s="16" t="n"/>
      <c r="D74" s="322" t="n"/>
      <c r="E74" s="322" t="n"/>
      <c r="F74" s="322" t="n"/>
      <c r="G74" s="322" t="n"/>
      <c r="H74" s="322" t="n"/>
      <c r="I74" s="322" t="n"/>
      <c r="J74" s="322" t="n"/>
      <c r="K74" s="322" t="n"/>
      <c r="L74" s="322" t="n"/>
      <c r="M74" s="370" t="n"/>
    </row>
    <row r="75" customFormat="1" s="348">
      <c r="A75" s="349" t="n"/>
      <c r="B75" s="397" t="inlineStr">
        <is>
          <t>Post operare (continuare)</t>
        </is>
      </c>
      <c r="C75" s="552" t="n"/>
      <c r="D75" s="552" t="n"/>
      <c r="E75" s="553" t="n"/>
      <c r="F75" s="403" t="n"/>
      <c r="G75" s="403" t="n"/>
      <c r="H75" s="403" t="n"/>
      <c r="I75" s="403" t="n"/>
      <c r="J75" s="403" t="n"/>
      <c r="K75" s="403" t="n"/>
      <c r="L75" s="322" t="n"/>
      <c r="M75" s="370" t="n"/>
    </row>
    <row r="76" ht="13.2" customFormat="1" customHeight="1" s="348">
      <c r="A76" s="245" t="inlineStr">
        <is>
          <t>An</t>
        </is>
      </c>
      <c r="B76" s="397">
        <f>IF(K72&gt;0,IF(AND(0&lt;K72,K72&lt;$B$66),K72+1,0),0)</f>
        <v/>
      </c>
      <c r="C76" s="397">
        <f>IF(B76&gt;0,IF(AND(0&lt;B76,B76&lt;$B$66),B76+1,0),0)</f>
        <v/>
      </c>
      <c r="D76" s="397">
        <f>IF(C76&gt;0,IF(AND(0&lt;C76,C76&lt;$B$66),C76+1,0),0)</f>
        <v/>
      </c>
      <c r="E76" s="397">
        <f>IF(D76&gt;0,IF(AND(0&lt;D76,D76&lt;$B$66),D76+1,0),0)</f>
        <v/>
      </c>
      <c r="F76" s="397">
        <f>IF(E76&gt;0,IF(AND(0&lt;E76,E76&lt;$B$66),E76+1,0),0)</f>
        <v/>
      </c>
      <c r="G76" s="397">
        <f>IF(F76&gt;0,IF(AND(0&lt;F76,F76&lt;$B$66),F76+1,0),0)</f>
        <v/>
      </c>
      <c r="H76" s="397">
        <f>IF(G76&gt;0,IF(AND(0&lt;G76,G76&lt;$B$66),G76+1,0),0)</f>
        <v/>
      </c>
      <c r="I76" s="397">
        <f>IF(H76&gt;0,IF(AND(0&lt;H76,H76&lt;$B$66),H76+1,0),0)</f>
        <v/>
      </c>
      <c r="J76" s="397">
        <f>IF(I76&gt;0,IF(AND(0&lt;I76,I76&lt;$B$66),I76+1,0),0)</f>
        <v/>
      </c>
      <c r="K76" s="397">
        <f>IF(J76&gt;0,IF(AND(0&lt;J76,J76&lt;$B$66),J76+1,0),0)</f>
        <v/>
      </c>
      <c r="L76" s="369" t="n"/>
    </row>
    <row r="77" ht="13.2" customFormat="1" customHeight="1" s="348">
      <c r="A77" s="245" t="inlineStr">
        <is>
          <t>Flux de numerar net</t>
        </is>
      </c>
      <c r="B77" s="244">
        <f>N(AND(B76&gt;0,$E$61&gt;0)*$E$61)</f>
        <v/>
      </c>
      <c r="C77" s="244">
        <f>N(AND(C76&gt;0,$E$61&gt;0)*$E$61)</f>
        <v/>
      </c>
      <c r="D77" s="244">
        <f>N(AND(D76&gt;0,$E$61&gt;0)*$E$61)</f>
        <v/>
      </c>
      <c r="E77" s="244">
        <f>N(AND(E76&gt;0,$E$61&gt;0)*$E$61)</f>
        <v/>
      </c>
      <c r="F77" s="244">
        <f>N(AND(F76&gt;0,$E$61&gt;0)*$E$61)</f>
        <v/>
      </c>
      <c r="G77" s="244">
        <f>N(AND(G76&gt;0,$E$61&gt;0)*$E$61)</f>
        <v/>
      </c>
      <c r="H77" s="244">
        <f>N(AND(H76&gt;0,$E$61&gt;0)*$E$61)</f>
        <v/>
      </c>
      <c r="I77" s="244">
        <f>N(AND(I76&gt;0,$E$61&gt;0)*$E$61)</f>
        <v/>
      </c>
      <c r="J77" s="244">
        <f>N(AND(J76&gt;0,$E$61&gt;0)*$E$61)</f>
        <v/>
      </c>
      <c r="K77" s="244">
        <f>N(AND(K76&gt;0,$E$61&gt;0)*$E$61)</f>
        <v/>
      </c>
      <c r="L77" s="369" t="n"/>
    </row>
    <row r="78" customFormat="1" s="348">
      <c r="A78" s="349" t="n"/>
      <c r="B78" s="322" t="n"/>
      <c r="C78" s="16" t="n"/>
      <c r="D78" s="322" t="n"/>
      <c r="E78" s="322" t="n"/>
      <c r="F78" s="322" t="n"/>
      <c r="G78" s="322" t="n"/>
      <c r="H78" s="322" t="n"/>
      <c r="I78" s="322" t="n"/>
      <c r="J78" s="322" t="n"/>
      <c r="K78" s="322" t="n"/>
      <c r="L78" s="322" t="n"/>
      <c r="M78" s="370" t="n"/>
    </row>
    <row r="79" customFormat="1" s="348">
      <c r="A79" s="349" t="n"/>
      <c r="B79" s="397" t="inlineStr">
        <is>
          <t>Post operare (continuare)</t>
        </is>
      </c>
      <c r="C79" s="552" t="n"/>
      <c r="D79" s="552" t="n"/>
      <c r="E79" s="553" t="n"/>
      <c r="F79" s="403" t="n"/>
      <c r="G79" s="403" t="n"/>
      <c r="H79" s="403" t="n"/>
      <c r="I79" s="403" t="n"/>
      <c r="J79" s="403" t="n"/>
      <c r="K79" s="403" t="n"/>
      <c r="L79" s="322" t="n"/>
      <c r="M79" s="370" t="n"/>
    </row>
    <row r="80" customFormat="1" s="348">
      <c r="A80" s="245" t="inlineStr">
        <is>
          <t>An</t>
        </is>
      </c>
      <c r="B80" s="397">
        <f>IF(K76&gt;0,IF(AND(0&lt;K76,K76&lt;$B$66),K76+1,0),0)</f>
        <v/>
      </c>
      <c r="C80" s="397">
        <f>IF(B80&gt;0,IF(AND(0&lt;B80,B80&lt;$B$66),B80+1,0),0)</f>
        <v/>
      </c>
      <c r="D80" s="397">
        <f>IF(C80&gt;0,IF(AND(0&lt;C80,C80&lt;$B$66),C80+1,0),0)</f>
        <v/>
      </c>
      <c r="E80" s="397">
        <f>IF(D80&gt;0,IF(AND(0&lt;D80,D80&lt;$B$66),D80+1,0),0)</f>
        <v/>
      </c>
      <c r="F80" s="397">
        <f>IF(E80&gt;0,IF(AND(0&lt;E80,E80&lt;$B$66),E80+1,0),0)</f>
        <v/>
      </c>
      <c r="G80" s="397">
        <f>IF(F80&gt;0,IF(AND(0&lt;F80,F80&lt;$B$66),F80+1,0),0)</f>
        <v/>
      </c>
      <c r="H80" s="397">
        <f>IF(G80&gt;0,IF(AND(0&lt;G80,G80&lt;$B$66),G80+1,0),0)</f>
        <v/>
      </c>
      <c r="I80" s="397">
        <f>IF(H80&gt;0,IF(AND(0&lt;H80,H80&lt;$B$66),H80+1,0),0)</f>
        <v/>
      </c>
      <c r="J80" s="397">
        <f>IF(I80&gt;0,IF(AND(0&lt;I80,I80&lt;$B$66),I80+1,0),0)</f>
        <v/>
      </c>
      <c r="K80" s="397">
        <f>IF(J80&gt;0,IF(AND(0&lt;J80,J80&lt;$B$66),J80+1,0),0)</f>
        <v/>
      </c>
      <c r="L80" s="322" t="n"/>
      <c r="M80" s="370" t="n"/>
    </row>
    <row r="81" customFormat="1" s="348">
      <c r="A81" s="245" t="inlineStr">
        <is>
          <t>Flux de numerar net</t>
        </is>
      </c>
      <c r="B81" s="244">
        <f>N(AND(B80&gt;0,$E$61&gt;0)*$E$61)</f>
        <v/>
      </c>
      <c r="C81" s="244">
        <f>N(AND(C80&gt;0,$E$61&gt;0)*$E$61)</f>
        <v/>
      </c>
      <c r="D81" s="244">
        <f>N(AND(D80&gt;0,$E$61&gt;0)*$E$61)</f>
        <v/>
      </c>
      <c r="E81" s="244">
        <f>N(AND(E80&gt;0,$E$61&gt;0)*$E$61)</f>
        <v/>
      </c>
      <c r="F81" s="244">
        <f>N(AND(F80&gt;0,$E$61&gt;0)*$E$61)</f>
        <v/>
      </c>
      <c r="G81" s="244">
        <f>N(AND(G80&gt;0,$E$61&gt;0)*$E$61)</f>
        <v/>
      </c>
      <c r="H81" s="244">
        <f>N(AND(H80&gt;0,$E$61&gt;0)*$E$61)</f>
        <v/>
      </c>
      <c r="I81" s="244">
        <f>N(AND(I80&gt;0,$E$61&gt;0)*$E$61)</f>
        <v/>
      </c>
      <c r="J81" s="244">
        <f>N(AND(J80&gt;0,$E$61&gt;0)*$E$61)</f>
        <v/>
      </c>
      <c r="K81" s="244">
        <f>N(AND(K80&gt;0,$E$61&gt;0)*$E$61)</f>
        <v/>
      </c>
      <c r="L81" s="322" t="n"/>
      <c r="M81" s="370" t="n"/>
    </row>
    <row r="82" customFormat="1" s="348">
      <c r="A82" s="368" t="n"/>
      <c r="B82" s="322" t="n"/>
      <c r="C82" s="16" t="n"/>
      <c r="D82" s="322" t="n"/>
      <c r="E82" s="322" t="n"/>
      <c r="F82" s="322" t="n"/>
      <c r="G82" s="322" t="n"/>
      <c r="H82" s="322" t="n"/>
      <c r="I82" s="322" t="n"/>
      <c r="J82" s="322" t="n"/>
      <c r="K82" s="322" t="n"/>
      <c r="L82" s="322" t="n"/>
      <c r="M82" s="370" t="n"/>
    </row>
    <row r="83" customFormat="1" s="348">
      <c r="A83" s="349" t="n"/>
      <c r="B83" s="397" t="inlineStr">
        <is>
          <t>Post operare (continuare)</t>
        </is>
      </c>
      <c r="C83" s="552" t="n"/>
      <c r="D83" s="552" t="n"/>
      <c r="E83" s="553" t="n"/>
      <c r="F83" s="403" t="n"/>
      <c r="G83" s="403" t="n"/>
      <c r="H83" s="322" t="n"/>
      <c r="I83" s="322" t="n"/>
      <c r="J83" s="322" t="n"/>
      <c r="K83" s="322" t="n"/>
      <c r="L83" s="322" t="n"/>
      <c r="M83" s="370" t="n"/>
    </row>
    <row r="84" customFormat="1" s="348">
      <c r="A84" s="245" t="inlineStr">
        <is>
          <t>An</t>
        </is>
      </c>
      <c r="B84" s="397">
        <f>IF(K80&gt;0,IF(AND(0&lt;K80,K80&lt;$B$66),K80+1,0),0)</f>
        <v/>
      </c>
      <c r="C84" s="397">
        <f>IF(B84&gt;0,IF(AND(0&lt;B84,B84&lt;$B$66),B84+1,0),0)</f>
        <v/>
      </c>
      <c r="D84" s="397">
        <f>IF(C84&gt;0,IF(AND(0&lt;C84,C84&lt;$B$66),C84+1,0),0)</f>
        <v/>
      </c>
      <c r="E84" s="397">
        <f>IF(D84&gt;0,IF(AND(0&lt;D84,D84&lt;$B$66),D84+1,0),0)</f>
        <v/>
      </c>
      <c r="F84" s="397">
        <f>IF(E84&gt;0,IF(AND(0&lt;E84,E84&lt;$B$66),E84+1,0),0)</f>
        <v/>
      </c>
      <c r="G84" s="397">
        <f>IF(F84&gt;0,IF(AND(0&lt;F84,F84&lt;$B$66),F84+1,0),0)</f>
        <v/>
      </c>
      <c r="H84" s="322" t="n"/>
      <c r="I84" s="322" t="n"/>
      <c r="J84" s="322" t="n"/>
      <c r="K84" s="322" t="n"/>
      <c r="L84" s="322" t="n"/>
      <c r="M84" s="370" t="n"/>
    </row>
    <row r="85" customFormat="1" s="348">
      <c r="A85" s="245" t="inlineStr">
        <is>
          <t>Flux de numerar net</t>
        </is>
      </c>
      <c r="B85" s="244">
        <f>N(AND(B84&gt;0,$E$61&gt;0)*$E$61)</f>
        <v/>
      </c>
      <c r="C85" s="244">
        <f>N(AND(C84&gt;0,$E$61&gt;0)*$E$61)</f>
        <v/>
      </c>
      <c r="D85" s="244">
        <f>N(AND(D84&gt;0,$E$61&gt;0)*$E$61)</f>
        <v/>
      </c>
      <c r="E85" s="244">
        <f>N(AND(E84&gt;0,$E$61&gt;0)*$E$61)</f>
        <v/>
      </c>
      <c r="F85" s="244">
        <f>N(AND(F84&gt;0,$E$61&gt;0)*$E$61)</f>
        <v/>
      </c>
      <c r="G85" s="244">
        <f>N(AND(G84&gt;0,$E$61&gt;0)*$E$61)</f>
        <v/>
      </c>
      <c r="H85" s="322" t="n"/>
      <c r="I85" s="322" t="n"/>
      <c r="J85" s="322" t="n"/>
      <c r="K85" s="322" t="n"/>
      <c r="L85" s="322" t="n"/>
      <c r="M85" s="370" t="n"/>
    </row>
    <row r="86" customFormat="1" s="348">
      <c r="A86" s="368" t="n"/>
      <c r="B86" s="322" t="n"/>
      <c r="C86" s="16" t="n"/>
      <c r="D86" s="322" t="n"/>
      <c r="E86" s="322" t="n"/>
      <c r="F86" s="322" t="n"/>
      <c r="G86" s="322" t="n"/>
      <c r="H86" s="322" t="n"/>
      <c r="I86" s="322" t="n"/>
      <c r="J86" s="322" t="n"/>
      <c r="K86" s="322" t="n"/>
      <c r="L86" s="322" t="n"/>
      <c r="M86" s="370" t="n"/>
    </row>
    <row r="87" customFormat="1" s="348">
      <c r="A87" s="368" t="n"/>
      <c r="B87" s="322" t="n"/>
      <c r="C87" s="16" t="n"/>
      <c r="D87" s="322" t="n"/>
      <c r="E87" s="322" t="n"/>
      <c r="F87" s="322" t="n"/>
      <c r="G87" s="322" t="n"/>
      <c r="H87" s="322" t="n"/>
      <c r="I87" s="322" t="n"/>
      <c r="J87" s="322" t="n"/>
      <c r="K87" s="322" t="n"/>
      <c r="L87" s="322" t="n"/>
      <c r="M87" s="370" t="n"/>
    </row>
    <row r="88" customFormat="1" s="348">
      <c r="A88" s="368" t="n"/>
      <c r="B88" s="322" t="n"/>
      <c r="C88" s="16" t="n"/>
      <c r="D88" s="322" t="n"/>
      <c r="E88" s="322" t="n"/>
      <c r="F88" s="322" t="n"/>
      <c r="G88" s="322" t="n"/>
      <c r="H88" s="322" t="n"/>
      <c r="I88" s="322" t="n"/>
      <c r="J88" s="322" t="n"/>
      <c r="K88" s="322" t="n"/>
      <c r="L88" s="322" t="n"/>
      <c r="M88" s="370" t="n"/>
    </row>
    <row r="89" customFormat="1" s="348">
      <c r="A89" s="368" t="n"/>
      <c r="B89" s="322" t="n"/>
      <c r="C89" s="16" t="n"/>
      <c r="D89" s="322" t="n"/>
      <c r="E89" s="322" t="n"/>
      <c r="F89" s="322" t="n"/>
      <c r="G89" s="322" t="n"/>
      <c r="H89" s="322" t="n"/>
      <c r="I89" s="322" t="n"/>
      <c r="J89" s="322" t="n"/>
      <c r="K89" s="322" t="n"/>
      <c r="L89" s="322" t="n"/>
      <c r="M89" s="370" t="n"/>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priority="9" operator="containsText" dxfId="0" text="&gt;0">
      <formula>NOT(ISERROR(SEARCH("&gt;0",C18)))</formula>
    </cfRule>
  </conditionalFormatting>
  <conditionalFormatting sqref="D18">
    <cfRule type="containsText" priority="2" operator="containsText" dxfId="0" text="&gt;0">
      <formula>NOT(ISERROR(SEARCH("&gt;0",D18)))</formula>
    </cfRule>
  </conditionalFormatting>
  <conditionalFormatting sqref="D19">
    <cfRule type="cellIs" priority="1" operator="greaterThan" dxfId="0">
      <formula>0.04</formula>
    </cfRule>
  </conditionalFormatting>
  <pageMargins left="0.5" right="0.4583333333333333" top="0.75" bottom="0.75" header="0.3" footer="0.3"/>
  <pageSetup orientation="landscape" paperSize="9" fitToHeight="0" blackAndWhite="1"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2020-10-18T15:58:51Z</dcterms:created>
  <dcterms:modified xmlns:dcterms="http://purl.org/dc/terms/" xmlns:xsi="http://www.w3.org/2001/XMLSchema-instance" xsi:type="dcterms:W3CDTF">2020-11-02T18:16:53Z</dcterms:modified>
</cp:coreProperties>
</file>