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protein\"/>
    </mc:Choice>
  </mc:AlternateContent>
  <xr:revisionPtr revIDLastSave="0" documentId="8_{08D7B6FD-CD03-4F3A-AAC7-4E4ED3B86E36}"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3" i="8" l="1"/>
  <c r="E73" i="8"/>
  <c r="G73" i="8"/>
  <c r="G79" i="8"/>
  <c r="F79" i="8"/>
  <c r="F84" i="8"/>
  <c r="E84" i="8"/>
  <c r="F125" i="1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D59" i="11"/>
  <c r="E59" i="11" s="1"/>
  <c r="F59" i="11" s="1"/>
  <c r="C59" i="11"/>
  <c r="C58" i="11"/>
  <c r="D58" i="11" s="1"/>
  <c r="E58" i="11" s="1"/>
  <c r="F58" i="11" s="1"/>
  <c r="F55" i="11" s="1"/>
  <c r="D55" i="11"/>
  <c r="C55" i="1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E26" i="11"/>
  <c r="E32" i="11" s="1"/>
  <c r="D26" i="11"/>
  <c r="C26" i="11"/>
  <c r="D22" i="11"/>
  <c r="C21" i="11"/>
  <c r="F16" i="11"/>
  <c r="F21" i="11" s="1"/>
  <c r="E16" i="11"/>
  <c r="E21" i="11" s="1"/>
  <c r="D16" i="11"/>
  <c r="D21" i="11" s="1"/>
  <c r="C16" i="11"/>
  <c r="D14" i="11"/>
  <c r="F9" i="11"/>
  <c r="F14" i="11" s="1"/>
  <c r="E9" i="11"/>
  <c r="E14" i="11" s="1"/>
  <c r="D9" i="11"/>
  <c r="C9" i="11"/>
  <c r="C60" i="9"/>
  <c r="D60" i="9" s="1"/>
  <c r="E60" i="9" s="1"/>
  <c r="B56" i="9"/>
  <c r="C51" i="9"/>
  <c r="E51" i="9" s="1"/>
  <c r="C48" i="9"/>
  <c r="E48" i="9" s="1"/>
  <c r="C43" i="9"/>
  <c r="E43" i="9" s="1"/>
  <c r="E40" i="9"/>
  <c r="C40" i="9"/>
  <c r="C35" i="9"/>
  <c r="E35" i="9" s="1"/>
  <c r="C32" i="9"/>
  <c r="E32" i="9" s="1"/>
  <c r="C27" i="9"/>
  <c r="E27" i="9" s="1"/>
  <c r="G188" i="8"/>
  <c r="F188" i="8"/>
  <c r="E188" i="8"/>
  <c r="D188" i="8"/>
  <c r="C188" i="8"/>
  <c r="G187" i="8"/>
  <c r="F187" i="8"/>
  <c r="E187" i="8"/>
  <c r="D187" i="8"/>
  <c r="G186" i="8"/>
  <c r="F186" i="8"/>
  <c r="F189" i="8" s="1"/>
  <c r="E186" i="8"/>
  <c r="E189" i="8" s="1"/>
  <c r="D186" i="8"/>
  <c r="A185" i="8"/>
  <c r="G181" i="8"/>
  <c r="F181" i="8"/>
  <c r="E181" i="8"/>
  <c r="D181" i="8"/>
  <c r="D178" i="8"/>
  <c r="D177" i="8"/>
  <c r="C177" i="8"/>
  <c r="D176" i="8"/>
  <c r="C176" i="8"/>
  <c r="D175" i="8"/>
  <c r="C175" i="8" s="1"/>
  <c r="G168" i="8"/>
  <c r="F168" i="8"/>
  <c r="E168" i="8"/>
  <c r="C168" i="8" s="1"/>
  <c r="D168" i="8"/>
  <c r="G157" i="8"/>
  <c r="D137" i="8"/>
  <c r="G131" i="8"/>
  <c r="G132" i="8" s="1"/>
  <c r="F131" i="8"/>
  <c r="F132" i="8" s="1"/>
  <c r="E131" i="8"/>
  <c r="E132" i="8" s="1"/>
  <c r="D131" i="8"/>
  <c r="C131" i="8" s="1"/>
  <c r="C130" i="8"/>
  <c r="C129" i="8"/>
  <c r="C128" i="8"/>
  <c r="G123" i="8"/>
  <c r="F123" i="8"/>
  <c r="E123" i="8"/>
  <c r="D123" i="8"/>
  <c r="C123" i="8" s="1"/>
  <c r="F122" i="8"/>
  <c r="E122" i="8"/>
  <c r="E180" i="8" s="1"/>
  <c r="E182" i="8" s="1"/>
  <c r="E183" i="8" s="1"/>
  <c r="D122" i="8"/>
  <c r="D119" i="8"/>
  <c r="C119" i="8"/>
  <c r="D118" i="8"/>
  <c r="C118" i="8"/>
  <c r="D117" i="8"/>
  <c r="C110" i="8"/>
  <c r="F105" i="8"/>
  <c r="F103" i="8" s="1"/>
  <c r="E105" i="8"/>
  <c r="E103" i="8" s="1"/>
  <c r="D103" i="8"/>
  <c r="E102" i="8"/>
  <c r="E162" i="8" s="1"/>
  <c r="D102" i="8"/>
  <c r="D98" i="8"/>
  <c r="G92" i="8"/>
  <c r="F92" i="8"/>
  <c r="E92" i="8"/>
  <c r="D92" i="8"/>
  <c r="D157" i="8" s="1"/>
  <c r="C92" i="8"/>
  <c r="G89" i="8"/>
  <c r="G156" i="8" s="1"/>
  <c r="F89" i="8"/>
  <c r="F156" i="8" s="1"/>
  <c r="E89" i="8"/>
  <c r="D89" i="8"/>
  <c r="D156" i="8" s="1"/>
  <c r="D88" i="8"/>
  <c r="F85" i="8"/>
  <c r="E85" i="8"/>
  <c r="D85" i="8"/>
  <c r="D154" i="8" s="1"/>
  <c r="D81" i="8"/>
  <c r="E81" i="8" s="1"/>
  <c r="F81" i="8" s="1"/>
  <c r="G81" i="8" s="1"/>
  <c r="F70" i="8"/>
  <c r="E68" i="8"/>
  <c r="D41" i="11" s="1"/>
  <c r="D68" i="8"/>
  <c r="C41" i="11" s="1"/>
  <c r="G65" i="8"/>
  <c r="F65" i="8"/>
  <c r="E65" i="8"/>
  <c r="D65" i="8"/>
  <c r="D58" i="8"/>
  <c r="C58" i="8"/>
  <c r="C54" i="8"/>
  <c r="F49" i="8"/>
  <c r="F47" i="8" s="1"/>
  <c r="E49" i="8"/>
  <c r="E47" i="8" s="1"/>
  <c r="D47" i="8"/>
  <c r="D46" i="8"/>
  <c r="E46" i="8" s="1"/>
  <c r="F46" i="8" s="1"/>
  <c r="G46" i="8" s="1"/>
  <c r="E45" i="8"/>
  <c r="D45" i="8"/>
  <c r="D44" i="8"/>
  <c r="E44" i="8" s="1"/>
  <c r="F44" i="8" s="1"/>
  <c r="G44" i="8" s="1"/>
  <c r="E42" i="8"/>
  <c r="E40" i="8" s="1"/>
  <c r="D42" i="8"/>
  <c r="D40" i="8"/>
  <c r="G36" i="8"/>
  <c r="F36" i="8"/>
  <c r="F157" i="8" s="1"/>
  <c r="E36" i="8"/>
  <c r="C36" i="8" s="1"/>
  <c r="D36" i="8"/>
  <c r="G33" i="8"/>
  <c r="F33" i="8"/>
  <c r="E33" i="8"/>
  <c r="D33" i="8"/>
  <c r="C33" i="8"/>
  <c r="E32" i="8"/>
  <c r="E30" i="8" s="1"/>
  <c r="D32" i="8"/>
  <c r="D30" i="8"/>
  <c r="F29" i="8"/>
  <c r="G29" i="8" s="1"/>
  <c r="E29" i="8"/>
  <c r="D28" i="8"/>
  <c r="F25" i="8"/>
  <c r="G25" i="8" s="1"/>
  <c r="E25" i="8"/>
  <c r="D23" i="8"/>
  <c r="E23" i="8" s="1"/>
  <c r="F23" i="8" s="1"/>
  <c r="E21" i="8"/>
  <c r="D21" i="8"/>
  <c r="E17" i="8"/>
  <c r="E15" i="8" s="1"/>
  <c r="D17" i="8"/>
  <c r="G9" i="8"/>
  <c r="F9" i="8"/>
  <c r="E9" i="8"/>
  <c r="D9" i="8"/>
  <c r="H19" i="7"/>
  <c r="E19" i="7"/>
  <c r="I19" i="7" s="1"/>
  <c r="G18" i="7"/>
  <c r="H17" i="7"/>
  <c r="E17" i="7"/>
  <c r="I17" i="7" s="1"/>
  <c r="C18" i="6" s="1"/>
  <c r="D18" i="6" s="1"/>
  <c r="I16" i="7"/>
  <c r="C17" i="6" s="1"/>
  <c r="H16" i="7"/>
  <c r="E16" i="7"/>
  <c r="H15" i="7"/>
  <c r="E15" i="7"/>
  <c r="I15" i="7" s="1"/>
  <c r="F14" i="7"/>
  <c r="D14" i="7"/>
  <c r="E14" i="7" s="1"/>
  <c r="H13" i="7"/>
  <c r="E13" i="7"/>
  <c r="I13" i="7" s="1"/>
  <c r="C14" i="6" s="1"/>
  <c r="I12" i="7"/>
  <c r="H12" i="7"/>
  <c r="E12" i="7"/>
  <c r="H11" i="7"/>
  <c r="I11" i="7" s="1"/>
  <c r="C12" i="6" s="1"/>
  <c r="E11" i="7"/>
  <c r="H10" i="7"/>
  <c r="E10" i="7"/>
  <c r="I10" i="7" s="1"/>
  <c r="I9" i="7"/>
  <c r="C10" i="6" s="1"/>
  <c r="D10" i="6" s="1"/>
  <c r="H9" i="7"/>
  <c r="E9" i="7"/>
  <c r="I8" i="7"/>
  <c r="H8" i="7"/>
  <c r="E8" i="7"/>
  <c r="H7" i="7"/>
  <c r="I7" i="7" s="1"/>
  <c r="C8" i="6" s="1"/>
  <c r="D8" i="6" s="1"/>
  <c r="E7" i="7"/>
  <c r="I6" i="7"/>
  <c r="H6" i="7"/>
  <c r="E6" i="7"/>
  <c r="C6" i="7"/>
  <c r="C18" i="7" s="1"/>
  <c r="H5" i="7"/>
  <c r="E5" i="7"/>
  <c r="G37" i="6"/>
  <c r="G122" i="8" s="1"/>
  <c r="F37" i="6"/>
  <c r="E37" i="6"/>
  <c r="D37" i="6"/>
  <c r="C37" i="6" s="1"/>
  <c r="C36" i="6"/>
  <c r="C35" i="6"/>
  <c r="D34" i="6"/>
  <c r="A29" i="6"/>
  <c r="C25" i="6"/>
  <c r="D25" i="6" s="1"/>
  <c r="E24" i="6"/>
  <c r="E19" i="6"/>
  <c r="B19" i="6"/>
  <c r="B18" i="6"/>
  <c r="A18" i="6"/>
  <c r="D17" i="6"/>
  <c r="C16" i="6"/>
  <c r="D16" i="6" s="1"/>
  <c r="B15" i="6"/>
  <c r="A15" i="6"/>
  <c r="D14" i="6"/>
  <c r="B14" i="6"/>
  <c r="A14" i="6"/>
  <c r="C13" i="6"/>
  <c r="D13" i="6" s="1"/>
  <c r="B13" i="6"/>
  <c r="A13" i="6"/>
  <c r="D12" i="6"/>
  <c r="B12" i="6"/>
  <c r="A12" i="6"/>
  <c r="C11" i="6"/>
  <c r="D11" i="6" s="1"/>
  <c r="B11" i="6"/>
  <c r="A11" i="6"/>
  <c r="B10" i="6"/>
  <c r="A10" i="6"/>
  <c r="D9" i="6"/>
  <c r="C9" i="6"/>
  <c r="B9" i="6"/>
  <c r="A9" i="6"/>
  <c r="B8" i="6"/>
  <c r="A8" i="6"/>
  <c r="D7" i="6"/>
  <c r="C7" i="6"/>
  <c r="B7" i="6"/>
  <c r="A7" i="6"/>
  <c r="B6" i="6"/>
  <c r="A6" i="6"/>
  <c r="F18" i="5"/>
  <c r="F16" i="5"/>
  <c r="F15" i="5"/>
  <c r="D89" i="4"/>
  <c r="C89" i="4"/>
  <c r="B89" i="4"/>
  <c r="D84" i="4"/>
  <c r="C84" i="4"/>
  <c r="B84" i="4"/>
  <c r="C81" i="4"/>
  <c r="B74" i="4"/>
  <c r="B72" i="4"/>
  <c r="D68" i="4"/>
  <c r="C68" i="4"/>
  <c r="B68" i="4"/>
  <c r="B66" i="4"/>
  <c r="D61" i="4"/>
  <c r="C61" i="4"/>
  <c r="B61" i="4"/>
  <c r="D42" i="4"/>
  <c r="C42" i="4"/>
  <c r="B42" i="4"/>
  <c r="D33" i="4"/>
  <c r="C33" i="4"/>
  <c r="B33" i="4"/>
  <c r="D23" i="4"/>
  <c r="C23" i="4"/>
  <c r="D22" i="4"/>
  <c r="C22" i="4"/>
  <c r="C18" i="4"/>
  <c r="D12" i="4"/>
  <c r="C12" i="4"/>
  <c r="B12" i="4"/>
  <c r="D4" i="4"/>
  <c r="C4" i="4"/>
  <c r="B4" i="4"/>
  <c r="A47" i="3"/>
  <c r="K46" i="3"/>
  <c r="D46" i="3"/>
  <c r="M46" i="3" s="1"/>
  <c r="C46" i="3"/>
  <c r="L46" i="3" s="1"/>
  <c r="B46" i="3"/>
  <c r="A46" i="3"/>
  <c r="F46" i="3" s="1"/>
  <c r="L45" i="3"/>
  <c r="G45" i="3"/>
  <c r="D45" i="3"/>
  <c r="C45" i="3"/>
  <c r="B45" i="3"/>
  <c r="B27" i="4" s="1"/>
  <c r="A45" i="3"/>
  <c r="A44" i="3"/>
  <c r="A43" i="3"/>
  <c r="A42" i="3"/>
  <c r="M41" i="3"/>
  <c r="D41" i="3"/>
  <c r="A41" i="3"/>
  <c r="M40" i="3"/>
  <c r="D40" i="3"/>
  <c r="C40" i="3"/>
  <c r="B40" i="3"/>
  <c r="L40" i="3" s="1"/>
  <c r="A40" i="3"/>
  <c r="D39" i="3"/>
  <c r="D21" i="4" s="1"/>
  <c r="C39" i="3"/>
  <c r="B39" i="3"/>
  <c r="A39" i="3"/>
  <c r="A38" i="3"/>
  <c r="A37" i="3"/>
  <c r="H36" i="3"/>
  <c r="G36" i="3"/>
  <c r="A36" i="3"/>
  <c r="G35" i="3"/>
  <c r="D35" i="3"/>
  <c r="M35" i="3" s="1"/>
  <c r="C35" i="3"/>
  <c r="B35" i="3"/>
  <c r="A35" i="3"/>
  <c r="H34" i="3"/>
  <c r="G34" i="3"/>
  <c r="D34" i="3"/>
  <c r="M34" i="3" s="1"/>
  <c r="C34" i="3"/>
  <c r="L34" i="3" s="1"/>
  <c r="B34" i="3"/>
  <c r="A34" i="3"/>
  <c r="L33" i="3"/>
  <c r="H33" i="3"/>
  <c r="G33" i="3"/>
  <c r="D33" i="3"/>
  <c r="M33" i="3" s="1"/>
  <c r="C33" i="3"/>
  <c r="B33" i="3"/>
  <c r="A33" i="3"/>
  <c r="M32" i="3"/>
  <c r="A32" i="3"/>
  <c r="A31" i="3"/>
  <c r="A30" i="3"/>
  <c r="D29" i="3"/>
  <c r="C29" i="3"/>
  <c r="B29" i="3"/>
  <c r="G29" i="3" s="1"/>
  <c r="M28" i="3"/>
  <c r="D28" i="3"/>
  <c r="C28" i="3"/>
  <c r="B28" i="3"/>
  <c r="G28" i="3" s="1"/>
  <c r="C27" i="3"/>
  <c r="B27" i="3"/>
  <c r="A27" i="3"/>
  <c r="G26" i="3"/>
  <c r="D26" i="3"/>
  <c r="C26" i="3"/>
  <c r="B26" i="3"/>
  <c r="A26" i="3"/>
  <c r="H25" i="3"/>
  <c r="G25" i="3"/>
  <c r="D25" i="3"/>
  <c r="C25" i="3"/>
  <c r="B25" i="3"/>
  <c r="B13" i="4" s="1"/>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3" i="3"/>
  <c r="L13" i="3"/>
  <c r="D13" i="3"/>
  <c r="C13" i="3"/>
  <c r="B13" i="3"/>
  <c r="B81" i="4" s="1"/>
  <c r="M12" i="3"/>
  <c r="L12" i="3"/>
  <c r="D12" i="3"/>
  <c r="C12" i="3"/>
  <c r="B12" i="3"/>
  <c r="M9" i="3"/>
  <c r="L9" i="3"/>
  <c r="D9" i="3"/>
  <c r="C9" i="3"/>
  <c r="B9" i="3"/>
  <c r="L8" i="3"/>
  <c r="M7" i="3"/>
  <c r="L7" i="3"/>
  <c r="D7" i="3"/>
  <c r="C7" i="3"/>
  <c r="C80" i="4" s="1"/>
  <c r="B7" i="3"/>
  <c r="B80" i="4" s="1"/>
  <c r="M3" i="3"/>
  <c r="L3" i="3"/>
  <c r="I3" i="3"/>
  <c r="H3" i="3"/>
  <c r="G3" i="3"/>
  <c r="D3" i="3"/>
  <c r="C3" i="3"/>
  <c r="B3" i="3"/>
  <c r="D47" i="2"/>
  <c r="C47" i="2"/>
  <c r="B47" i="2"/>
  <c r="D46" i="2"/>
  <c r="C46" i="2"/>
  <c r="B46" i="2"/>
  <c r="D45" i="2"/>
  <c r="C45" i="2"/>
  <c r="C41" i="3" s="1"/>
  <c r="B45" i="2"/>
  <c r="B41" i="3" s="1"/>
  <c r="G41" i="3" s="1"/>
  <c r="B36" i="4" s="1"/>
  <c r="C39" i="2"/>
  <c r="C37" i="2"/>
  <c r="C37" i="3" s="1"/>
  <c r="B37" i="2"/>
  <c r="B37" i="3" s="1"/>
  <c r="D36" i="2"/>
  <c r="D36" i="3" s="1"/>
  <c r="M36" i="3" s="1"/>
  <c r="C36" i="2"/>
  <c r="C36" i="3" s="1"/>
  <c r="L36" i="3" s="1"/>
  <c r="B36" i="2"/>
  <c r="B36" i="3" s="1"/>
  <c r="B18" i="4" s="1"/>
  <c r="D32" i="2"/>
  <c r="D32" i="3" s="1"/>
  <c r="D17" i="4" s="1"/>
  <c r="C32" i="2"/>
  <c r="C32" i="3" s="1"/>
  <c r="C17" i="4" s="1"/>
  <c r="B32" i="2"/>
  <c r="C27" i="2"/>
  <c r="B27" i="2"/>
  <c r="D24" i="2"/>
  <c r="D30" i="3" s="1"/>
  <c r="C24" i="2"/>
  <c r="C49" i="2" s="1"/>
  <c r="C43" i="3" s="1"/>
  <c r="B24" i="2"/>
  <c r="B49" i="2" s="1"/>
  <c r="B43" i="3" s="1"/>
  <c r="D13" i="2"/>
  <c r="C13" i="2"/>
  <c r="C48" i="2" s="1"/>
  <c r="B13" i="2"/>
  <c r="D5" i="2"/>
  <c r="C5" i="2"/>
  <c r="B5" i="2"/>
  <c r="D85" i="1"/>
  <c r="C85" i="1"/>
  <c r="F11" i="5" s="1"/>
  <c r="B85" i="1"/>
  <c r="D82" i="1"/>
  <c r="C82" i="1"/>
  <c r="F10" i="5" s="1"/>
  <c r="B82" i="1"/>
  <c r="D75" i="1"/>
  <c r="C75" i="1"/>
  <c r="F17" i="5" s="1"/>
  <c r="B75" i="1"/>
  <c r="D68" i="1"/>
  <c r="D89" i="1" s="1"/>
  <c r="D20" i="3" s="1"/>
  <c r="C68" i="1"/>
  <c r="C89" i="1" s="1"/>
  <c r="C20" i="3" s="1"/>
  <c r="B68" i="1"/>
  <c r="B89" i="1" s="1"/>
  <c r="B20" i="3" s="1"/>
  <c r="D63" i="1"/>
  <c r="C63" i="1"/>
  <c r="B63" i="1"/>
  <c r="D60" i="1"/>
  <c r="C60" i="1"/>
  <c r="B60" i="1"/>
  <c r="D57" i="1"/>
  <c r="D56" i="1" s="1"/>
  <c r="C57" i="1"/>
  <c r="C56" i="1" s="1"/>
  <c r="C15" i="3" s="1"/>
  <c r="B57" i="1"/>
  <c r="D54" i="1"/>
  <c r="C54" i="1"/>
  <c r="B54" i="1"/>
  <c r="D42" i="1"/>
  <c r="C41" i="1"/>
  <c r="C14" i="3" s="1"/>
  <c r="B41" i="1"/>
  <c r="B14" i="3" s="1"/>
  <c r="D30" i="1"/>
  <c r="D8" i="3" s="1"/>
  <c r="M8" i="3" s="1"/>
  <c r="C30" i="1"/>
  <c r="C8" i="3" s="1"/>
  <c r="B30" i="1"/>
  <c r="B8" i="3" s="1"/>
  <c r="B29" i="1"/>
  <c r="D25" i="1"/>
  <c r="D6" i="3" s="1"/>
  <c r="C25" i="1"/>
  <c r="C6" i="3" s="1"/>
  <c r="L6" i="3" s="1"/>
  <c r="B25" i="1"/>
  <c r="B6" i="3" s="1"/>
  <c r="C21" i="1"/>
  <c r="D16" i="1"/>
  <c r="D18" i="1" s="1"/>
  <c r="B16" i="1"/>
  <c r="B18" i="1" s="1"/>
  <c r="C11" i="1"/>
  <c r="C16" i="1" s="1"/>
  <c r="C18" i="1" s="1"/>
  <c r="B11" i="1"/>
  <c r="C10" i="1"/>
  <c r="B10" i="1"/>
  <c r="C9" i="1"/>
  <c r="B9" i="1"/>
  <c r="D15" i="3" l="1"/>
  <c r="D94" i="1"/>
  <c r="D92" i="4"/>
  <c r="D6" i="4"/>
  <c r="M20" i="3"/>
  <c r="M30" i="3"/>
  <c r="D15" i="4"/>
  <c r="I30" i="3"/>
  <c r="C4" i="3"/>
  <c r="C92" i="4"/>
  <c r="L20" i="3"/>
  <c r="G43" i="3"/>
  <c r="B25" i="4"/>
  <c r="L43" i="3"/>
  <c r="H43" i="3"/>
  <c r="C25" i="4"/>
  <c r="F21" i="8"/>
  <c r="G23" i="8"/>
  <c r="G21" i="8" s="1"/>
  <c r="B4" i="3"/>
  <c r="B93" i="1"/>
  <c r="C51" i="2"/>
  <c r="D49" i="2"/>
  <c r="D43" i="3" s="1"/>
  <c r="D70" i="4"/>
  <c r="D13" i="4"/>
  <c r="D72" i="4"/>
  <c r="I40" i="3"/>
  <c r="I39" i="3"/>
  <c r="M25" i="3"/>
  <c r="D74" i="4"/>
  <c r="I25" i="3"/>
  <c r="I46" i="3"/>
  <c r="D79" i="4"/>
  <c r="D5" i="3"/>
  <c r="D14" i="8"/>
  <c r="D26" i="2"/>
  <c r="D25" i="2"/>
  <c r="D82" i="4"/>
  <c r="D27" i="2"/>
  <c r="C42" i="3"/>
  <c r="D26" i="8"/>
  <c r="D84" i="8"/>
  <c r="F102" i="8"/>
  <c r="C29" i="1"/>
  <c r="C92" i="1" s="1"/>
  <c r="D27" i="3"/>
  <c r="E28" i="8"/>
  <c r="E26" i="8" s="1"/>
  <c r="E39" i="8" s="1"/>
  <c r="D29" i="1"/>
  <c r="D43" i="1" s="1"/>
  <c r="D44" i="1" s="1"/>
  <c r="D38" i="2"/>
  <c r="D80" i="4"/>
  <c r="G39" i="3"/>
  <c r="B21" i="4"/>
  <c r="D39" i="8"/>
  <c r="C21" i="8"/>
  <c r="C29" i="8"/>
  <c r="D189" i="8"/>
  <c r="C186" i="8"/>
  <c r="I35" i="3"/>
  <c r="I45" i="3"/>
  <c r="M45" i="3"/>
  <c r="C11" i="3"/>
  <c r="D65" i="4"/>
  <c r="E67" i="11"/>
  <c r="F154" i="8"/>
  <c r="D93" i="1"/>
  <c r="D37" i="2"/>
  <c r="D37" i="3" s="1"/>
  <c r="F68" i="8"/>
  <c r="G70" i="8"/>
  <c r="G68" i="8" s="1"/>
  <c r="C52" i="2"/>
  <c r="D4" i="3"/>
  <c r="L14" i="3"/>
  <c r="L26" i="3"/>
  <c r="H26" i="3"/>
  <c r="B30" i="3"/>
  <c r="C21" i="4"/>
  <c r="L39" i="3"/>
  <c r="H39" i="3"/>
  <c r="D86" i="8"/>
  <c r="E88" i="8"/>
  <c r="E86" i="8" s="1"/>
  <c r="E155" i="8" s="1"/>
  <c r="D12" i="9"/>
  <c r="D17" i="9" s="1"/>
  <c r="E190" i="8"/>
  <c r="E192" i="8" s="1"/>
  <c r="D119" i="11"/>
  <c r="D127" i="11" s="1"/>
  <c r="C65" i="4"/>
  <c r="C79" i="4"/>
  <c r="C5" i="3"/>
  <c r="C71" i="4" s="1"/>
  <c r="D18" i="4"/>
  <c r="I36" i="3"/>
  <c r="B19" i="4"/>
  <c r="G37" i="3"/>
  <c r="B35" i="4" s="1"/>
  <c r="I33" i="3"/>
  <c r="B22" i="4"/>
  <c r="G40" i="3"/>
  <c r="C72" i="4"/>
  <c r="B42" i="1"/>
  <c r="B94" i="1" s="1"/>
  <c r="C19" i="4"/>
  <c r="H37" i="3"/>
  <c r="C35" i="4" s="1"/>
  <c r="C50" i="2"/>
  <c r="C14" i="4"/>
  <c r="L27" i="3"/>
  <c r="H27" i="3"/>
  <c r="G85" i="8"/>
  <c r="C85" i="8" s="1"/>
  <c r="B25" i="2"/>
  <c r="B56" i="1"/>
  <c r="B15" i="3" s="1"/>
  <c r="F12" i="5"/>
  <c r="C25" i="2"/>
  <c r="D39" i="2"/>
  <c r="L41" i="3"/>
  <c r="D48" i="2"/>
  <c r="M14" i="3"/>
  <c r="M26" i="3"/>
  <c r="I26" i="3"/>
  <c r="L28" i="3"/>
  <c r="H28" i="3"/>
  <c r="C30" i="3"/>
  <c r="L37" i="3"/>
  <c r="B23" i="4"/>
  <c r="F119" i="11"/>
  <c r="F127" i="11" s="1"/>
  <c r="B11" i="3"/>
  <c r="I32" i="3"/>
  <c r="C106" i="11"/>
  <c r="C42" i="11"/>
  <c r="C40" i="11" s="1"/>
  <c r="C36" i="11" s="1"/>
  <c r="C60" i="11" s="1"/>
  <c r="M6" i="3"/>
  <c r="B14" i="4"/>
  <c r="G27" i="3"/>
  <c r="I34" i="3"/>
  <c r="D106" i="11"/>
  <c r="D42" i="11"/>
  <c r="D40" i="11"/>
  <c r="D36" i="11" s="1"/>
  <c r="D60" i="11" s="1"/>
  <c r="E157" i="8"/>
  <c r="C157" i="8" s="1"/>
  <c r="H29" i="3"/>
  <c r="L29" i="3"/>
  <c r="D27" i="4"/>
  <c r="D73" i="4"/>
  <c r="C42" i="1"/>
  <c r="C94" i="1" s="1"/>
  <c r="B39" i="2"/>
  <c r="B32" i="3"/>
  <c r="B38" i="2"/>
  <c r="I29" i="3"/>
  <c r="M29" i="3"/>
  <c r="B65" i="4"/>
  <c r="B79" i="4"/>
  <c r="B5" i="3"/>
  <c r="B92" i="4"/>
  <c r="D92" i="1"/>
  <c r="B26" i="2"/>
  <c r="C26" i="2"/>
  <c r="C73" i="4"/>
  <c r="C70" i="4"/>
  <c r="C13" i="4"/>
  <c r="H40" i="3"/>
  <c r="L25" i="3"/>
  <c r="C74" i="4"/>
  <c r="I28" i="3"/>
  <c r="H32" i="3"/>
  <c r="H35" i="3"/>
  <c r="M39" i="3"/>
  <c r="I41" i="3"/>
  <c r="D36" i="4" s="1"/>
  <c r="C27" i="4"/>
  <c r="H45" i="3"/>
  <c r="H46" i="3"/>
  <c r="F18" i="7"/>
  <c r="H14" i="7"/>
  <c r="H18" i="7" s="1"/>
  <c r="G49" i="8"/>
  <c r="G47" i="8" s="1"/>
  <c r="D96" i="8"/>
  <c r="E98" i="8"/>
  <c r="E96" i="8" s="1"/>
  <c r="B48" i="2"/>
  <c r="B82" i="4"/>
  <c r="C66" i="4"/>
  <c r="F180" i="8"/>
  <c r="F182" i="8" s="1"/>
  <c r="F183" i="8" s="1"/>
  <c r="F124" i="8"/>
  <c r="F125" i="8" s="1"/>
  <c r="F133" i="8" s="1"/>
  <c r="C38" i="2"/>
  <c r="C82" i="4"/>
  <c r="C67" i="4"/>
  <c r="H41" i="3"/>
  <c r="C36" i="4" s="1"/>
  <c r="D66" i="4"/>
  <c r="B94" i="4"/>
  <c r="D42" i="6"/>
  <c r="C34" i="6"/>
  <c r="D15" i="8"/>
  <c r="D73" i="8"/>
  <c r="G17" i="8"/>
  <c r="G15" i="8" s="1"/>
  <c r="D67" i="4"/>
  <c r="D81" i="4"/>
  <c r="G46" i="3"/>
  <c r="B67" i="4"/>
  <c r="C94" i="4"/>
  <c r="C47" i="8"/>
  <c r="D106" i="8"/>
  <c r="D50" i="8"/>
  <c r="B73" i="4"/>
  <c r="B70" i="4"/>
  <c r="L35" i="3"/>
  <c r="D94" i="4"/>
  <c r="E18" i="7"/>
  <c r="I5" i="7"/>
  <c r="I14" i="7"/>
  <c r="C15" i="6" s="1"/>
  <c r="D15" i="6" s="1"/>
  <c r="F17" i="8"/>
  <c r="F15" i="8" s="1"/>
  <c r="F32" i="8"/>
  <c r="F42" i="8"/>
  <c r="G146" i="8"/>
  <c r="D67" i="11"/>
  <c r="E154" i="8"/>
  <c r="C187" i="8"/>
  <c r="G189" i="8"/>
  <c r="C65" i="8"/>
  <c r="E12" i="9"/>
  <c r="E17" i="9" s="1"/>
  <c r="F190" i="8"/>
  <c r="G180" i="8"/>
  <c r="G182" i="8" s="1"/>
  <c r="G183" i="8" s="1"/>
  <c r="G124" i="8"/>
  <c r="G125" i="8" s="1"/>
  <c r="G133" i="8" s="1"/>
  <c r="C44" i="8"/>
  <c r="E146" i="8"/>
  <c r="F163" i="8"/>
  <c r="C181" i="8"/>
  <c r="E22" i="11"/>
  <c r="E33" i="11" s="1"/>
  <c r="F146" i="8"/>
  <c r="C67" i="11"/>
  <c r="C156" i="8"/>
  <c r="G105" i="8"/>
  <c r="G103" i="8" s="1"/>
  <c r="G163" i="8" s="1"/>
  <c r="C122" i="8"/>
  <c r="D180" i="8"/>
  <c r="D124" i="8"/>
  <c r="C124" i="8" s="1"/>
  <c r="D146" i="8"/>
  <c r="F22" i="11"/>
  <c r="F33" i="11" s="1"/>
  <c r="C89" i="8"/>
  <c r="E124" i="8"/>
  <c r="E125" i="8" s="1"/>
  <c r="E133" i="8"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47" i="9"/>
  <c r="E47" i="9" s="1"/>
  <c r="C39" i="9"/>
  <c r="E39" i="9" s="1"/>
  <c r="C31" i="9"/>
  <c r="E31" i="9" s="1"/>
  <c r="C52" i="9"/>
  <c r="E52" i="9" s="1"/>
  <c r="C44" i="9"/>
  <c r="E44" i="9" s="1"/>
  <c r="C36" i="9"/>
  <c r="E36" i="9" s="1"/>
  <c r="C28" i="9"/>
  <c r="E28" i="9" s="1"/>
  <c r="C119" i="11"/>
  <c r="C127" i="11" s="1"/>
  <c r="C117" i="8"/>
  <c r="D120" i="8"/>
  <c r="D162" i="8"/>
  <c r="C178" i="8"/>
  <c r="E55" i="11"/>
  <c r="D18" i="7"/>
  <c r="C9" i="8"/>
  <c r="C46" i="8"/>
  <c r="D79" i="8"/>
  <c r="D163" i="8"/>
  <c r="C163" i="8" s="1"/>
  <c r="E156" i="8"/>
  <c r="E163" i="8"/>
  <c r="D32" i="11"/>
  <c r="D33" i="11" s="1"/>
  <c r="D132" i="8"/>
  <c r="C132" i="8" s="1"/>
  <c r="C24" i="7" l="1"/>
  <c r="C28" i="7"/>
  <c r="C26" i="7" s="1"/>
  <c r="C26" i="6" s="1"/>
  <c r="D26" i="6" s="1"/>
  <c r="C154" i="8"/>
  <c r="E93" i="11"/>
  <c r="C22" i="3"/>
  <c r="C87" i="4"/>
  <c r="L11" i="3"/>
  <c r="H11" i="3"/>
  <c r="I27" i="3"/>
  <c r="D14" i="4"/>
  <c r="M27" i="3"/>
  <c r="F192" i="8"/>
  <c r="C40" i="2"/>
  <c r="C38" i="3" s="1"/>
  <c r="C42" i="2"/>
  <c r="C41" i="2"/>
  <c r="C31" i="3"/>
  <c r="I37" i="3"/>
  <c r="D35" i="4" s="1"/>
  <c r="M37" i="3"/>
  <c r="D19" i="4"/>
  <c r="D82" i="8"/>
  <c r="E82" i="8"/>
  <c r="E153" i="8" s="1"/>
  <c r="M43" i="3"/>
  <c r="I43" i="3"/>
  <c r="D25" i="4"/>
  <c r="B77" i="4"/>
  <c r="B63" i="4"/>
  <c r="B21" i="3"/>
  <c r="B10" i="3"/>
  <c r="C93" i="1"/>
  <c r="G32" i="3"/>
  <c r="B17" i="4"/>
  <c r="L32" i="3"/>
  <c r="D68" i="11"/>
  <c r="D66" i="11" s="1"/>
  <c r="C132" i="11"/>
  <c r="C110" i="11"/>
  <c r="D51" i="2"/>
  <c r="D50" i="2"/>
  <c r="D52" i="2"/>
  <c r="D42" i="3"/>
  <c r="E79" i="8"/>
  <c r="E77" i="8" s="1"/>
  <c r="D77" i="8"/>
  <c r="E25" i="9"/>
  <c r="E56" i="9" s="1"/>
  <c r="B66" i="9" s="1"/>
  <c r="B68" i="9" s="1"/>
  <c r="C56" i="9"/>
  <c r="C103" i="8"/>
  <c r="H30" i="3"/>
  <c r="L30" i="3"/>
  <c r="C15" i="4"/>
  <c r="F41" i="11"/>
  <c r="F98" i="8"/>
  <c r="E41" i="11"/>
  <c r="F40" i="8"/>
  <c r="G42" i="8"/>
  <c r="G40" i="8" s="1"/>
  <c r="G45" i="8" s="1"/>
  <c r="D100" i="8"/>
  <c r="D159" i="8"/>
  <c r="C21" i="5"/>
  <c r="F19" i="5"/>
  <c r="C55" i="2"/>
  <c r="C44" i="3"/>
  <c r="D155" i="8"/>
  <c r="F28" i="8"/>
  <c r="E14" i="8"/>
  <c r="D12" i="8"/>
  <c r="C77" i="4"/>
  <c r="C63" i="4"/>
  <c r="C21" i="3"/>
  <c r="C97" i="4" s="1"/>
  <c r="C10" i="3"/>
  <c r="H4" i="3"/>
  <c r="L4" i="3"/>
  <c r="E119" i="11"/>
  <c r="E127" i="11" s="1"/>
  <c r="C24" i="4"/>
  <c r="H42" i="3"/>
  <c r="E106" i="8"/>
  <c r="F106" i="8" s="1"/>
  <c r="D164" i="8"/>
  <c r="D132" i="11"/>
  <c r="D110" i="11"/>
  <c r="C43" i="1"/>
  <c r="C44" i="1" s="1"/>
  <c r="G11" i="3"/>
  <c r="B22" i="3"/>
  <c r="G22" i="3" s="1"/>
  <c r="B96" i="4"/>
  <c r="B97" i="4"/>
  <c r="B87" i="4"/>
  <c r="F88" i="8"/>
  <c r="F162" i="8"/>
  <c r="G102" i="8"/>
  <c r="D93" i="11"/>
  <c r="D125" i="8"/>
  <c r="C120" i="8"/>
  <c r="C68" i="11"/>
  <c r="C66" i="11" s="1"/>
  <c r="F30" i="8"/>
  <c r="C30" i="8" s="1"/>
  <c r="G32" i="8"/>
  <c r="G30" i="8" s="1"/>
  <c r="C146" i="8"/>
  <c r="F12" i="9"/>
  <c r="F17" i="9" s="1"/>
  <c r="G190" i="8"/>
  <c r="G192" i="8" s="1"/>
  <c r="D71" i="8"/>
  <c r="F71" i="8"/>
  <c r="F148" i="8" s="1"/>
  <c r="E71" i="8"/>
  <c r="G15" i="3"/>
  <c r="C189" i="8"/>
  <c r="C12" i="9"/>
  <c r="D190" i="8"/>
  <c r="C190" i="8" s="1"/>
  <c r="D64" i="4"/>
  <c r="D86" i="4"/>
  <c r="D78" i="4"/>
  <c r="M5" i="3"/>
  <c r="C6" i="4"/>
  <c r="D182" i="8"/>
  <c r="C180" i="8"/>
  <c r="E50" i="8"/>
  <c r="E51" i="8" s="1"/>
  <c r="F67" i="11"/>
  <c r="G154" i="8"/>
  <c r="C6" i="6"/>
  <c r="D6" i="6" s="1"/>
  <c r="I18" i="7"/>
  <c r="D45" i="6"/>
  <c r="E42" i="6"/>
  <c r="B42" i="3"/>
  <c r="L42" i="3" s="1"/>
  <c r="B51" i="2"/>
  <c r="B52" i="2"/>
  <c r="B50" i="2"/>
  <c r="B86" i="4"/>
  <c r="B7" i="4"/>
  <c r="G5" i="3"/>
  <c r="B85" i="4"/>
  <c r="B64" i="4"/>
  <c r="B78" i="4"/>
  <c r="B43" i="1"/>
  <c r="B44" i="1" s="1"/>
  <c r="D51" i="8"/>
  <c r="B92" i="1"/>
  <c r="E100" i="8"/>
  <c r="E159" i="8"/>
  <c r="B71" i="4"/>
  <c r="C7" i="4"/>
  <c r="C10" i="4" s="1"/>
  <c r="C85" i="4"/>
  <c r="C86" i="4"/>
  <c r="H5" i="3"/>
  <c r="C78" i="4"/>
  <c r="C64" i="4"/>
  <c r="L5" i="3"/>
  <c r="G30" i="3"/>
  <c r="B15" i="4"/>
  <c r="D31" i="3"/>
  <c r="D41" i="2"/>
  <c r="D40" i="2"/>
  <c r="D38" i="3" s="1"/>
  <c r="D42" i="2"/>
  <c r="F93" i="11"/>
  <c r="C68" i="8"/>
  <c r="C15" i="8"/>
  <c r="B31" i="3"/>
  <c r="B41" i="2"/>
  <c r="B40" i="2"/>
  <c r="B38" i="3" s="1"/>
  <c r="B42" i="2"/>
  <c r="B6" i="4"/>
  <c r="B8" i="4" s="1"/>
  <c r="D63" i="4"/>
  <c r="D21" i="3"/>
  <c r="I5" i="3" s="1"/>
  <c r="D10" i="3"/>
  <c r="M4" i="3"/>
  <c r="D77" i="4"/>
  <c r="E68" i="11"/>
  <c r="E66" i="11" s="1"/>
  <c r="D71" i="4"/>
  <c r="L15" i="3"/>
  <c r="D11" i="3"/>
  <c r="D7" i="4" s="1"/>
  <c r="M15" i="3"/>
  <c r="F74" i="8" l="1"/>
  <c r="F109" i="8" s="1"/>
  <c r="G106" i="8"/>
  <c r="D10" i="4"/>
  <c r="D8" i="4"/>
  <c r="D9" i="4" s="1"/>
  <c r="M10" i="3"/>
  <c r="D91" i="4"/>
  <c r="I10" i="3"/>
  <c r="D90" i="4"/>
  <c r="D48" i="4"/>
  <c r="F106" i="11"/>
  <c r="F42" i="11"/>
  <c r="F40" i="11" s="1"/>
  <c r="F36" i="11" s="1"/>
  <c r="F60" i="11" s="1"/>
  <c r="F50" i="8"/>
  <c r="D152" i="8"/>
  <c r="C64" i="11"/>
  <c r="D95" i="8"/>
  <c r="B91" i="4"/>
  <c r="G10" i="3"/>
  <c r="B90" i="4"/>
  <c r="B48" i="4"/>
  <c r="E160" i="8"/>
  <c r="E101" i="8"/>
  <c r="E148" i="8"/>
  <c r="E74" i="8"/>
  <c r="G162" i="8"/>
  <c r="C162" i="8" s="1"/>
  <c r="C102" i="8"/>
  <c r="C90" i="4"/>
  <c r="L10" i="3"/>
  <c r="C91" i="4"/>
  <c r="H10" i="3"/>
  <c r="C48" i="4"/>
  <c r="D160" i="8"/>
  <c r="D101" i="8"/>
  <c r="B62" i="4"/>
  <c r="B58" i="4"/>
  <c r="G19" i="3"/>
  <c r="G18" i="3"/>
  <c r="G17" i="3"/>
  <c r="G16" i="3"/>
  <c r="G13" i="3"/>
  <c r="G12" i="3"/>
  <c r="G9" i="3"/>
  <c r="G7" i="3"/>
  <c r="B76" i="4"/>
  <c r="B53" i="4"/>
  <c r="B5" i="4"/>
  <c r="B69" i="4"/>
  <c r="G21" i="3"/>
  <c r="G20" i="3"/>
  <c r="B95" i="4"/>
  <c r="G6" i="3"/>
  <c r="B93" i="4"/>
  <c r="G8" i="3"/>
  <c r="G14" i="3"/>
  <c r="C17" i="9"/>
  <c r="B17" i="9" s="1"/>
  <c r="B12" i="9"/>
  <c r="C125" i="8"/>
  <c r="D133" i="8"/>
  <c r="C133" i="8" s="1"/>
  <c r="F96" i="8"/>
  <c r="G98" i="8"/>
  <c r="G96" i="8" s="1"/>
  <c r="F26" i="8"/>
  <c r="G28" i="8"/>
  <c r="G26" i="8" s="1"/>
  <c r="G39" i="8" s="1"/>
  <c r="G38" i="3"/>
  <c r="B20" i="4"/>
  <c r="C23" i="7"/>
  <c r="C19" i="6"/>
  <c r="D19" i="6" s="1"/>
  <c r="C62" i="4"/>
  <c r="C76" i="4"/>
  <c r="C58" i="4"/>
  <c r="C53" i="4"/>
  <c r="L21" i="3"/>
  <c r="H12" i="3"/>
  <c r="H16" i="3"/>
  <c r="H13" i="3"/>
  <c r="H21" i="3"/>
  <c r="H17" i="3"/>
  <c r="H7" i="3"/>
  <c r="C5" i="4"/>
  <c r="H19" i="3"/>
  <c r="H9" i="3"/>
  <c r="H18" i="3"/>
  <c r="H8" i="3"/>
  <c r="C93" i="4"/>
  <c r="C95" i="4"/>
  <c r="C69" i="4"/>
  <c r="H20" i="3"/>
  <c r="H14" i="3"/>
  <c r="H15" i="3"/>
  <c r="H6" i="3"/>
  <c r="D64" i="11"/>
  <c r="E152" i="8"/>
  <c r="E95" i="8"/>
  <c r="H38" i="3"/>
  <c r="L38" i="3"/>
  <c r="C20" i="4"/>
  <c r="D16" i="4"/>
  <c r="M31" i="3"/>
  <c r="I31" i="3"/>
  <c r="D34" i="4" s="1"/>
  <c r="F68" i="11"/>
  <c r="F66" i="11" s="1"/>
  <c r="D62" i="4"/>
  <c r="D76" i="4"/>
  <c r="D58" i="4"/>
  <c r="M21" i="3"/>
  <c r="I16" i="3"/>
  <c r="I13" i="3"/>
  <c r="I8" i="3"/>
  <c r="I9" i="3"/>
  <c r="I12" i="3"/>
  <c r="D53" i="4"/>
  <c r="I21" i="3"/>
  <c r="I17" i="3"/>
  <c r="I7" i="3"/>
  <c r="I18" i="3"/>
  <c r="D5" i="4"/>
  <c r="I19" i="3"/>
  <c r="I14" i="3"/>
  <c r="I6" i="3"/>
  <c r="I20" i="3"/>
  <c r="D69" i="4"/>
  <c r="D95" i="4"/>
  <c r="D93" i="4"/>
  <c r="D147" i="8"/>
  <c r="D18" i="8"/>
  <c r="E12" i="8"/>
  <c r="F14" i="8"/>
  <c r="I15" i="3"/>
  <c r="B10" i="4"/>
  <c r="I38" i="3"/>
  <c r="D20" i="4"/>
  <c r="M38" i="3"/>
  <c r="C182" i="8"/>
  <c r="D183" i="8"/>
  <c r="G71" i="8"/>
  <c r="C71" i="8" s="1"/>
  <c r="F86" i="8"/>
  <c r="G88" i="8"/>
  <c r="G86" i="8" s="1"/>
  <c r="G155" i="8" s="1"/>
  <c r="D129" i="11"/>
  <c r="C26" i="4"/>
  <c r="H44" i="3"/>
  <c r="C37" i="4" s="1"/>
  <c r="F45" i="8"/>
  <c r="C45" i="8" s="1"/>
  <c r="C40" i="8"/>
  <c r="D24" i="4"/>
  <c r="M42" i="3"/>
  <c r="I42" i="3"/>
  <c r="G4" i="3"/>
  <c r="D153" i="8"/>
  <c r="L22" i="3"/>
  <c r="H22" i="3"/>
  <c r="D55" i="2"/>
  <c r="D44" i="3"/>
  <c r="C68" i="9"/>
  <c r="B24" i="4"/>
  <c r="G42" i="3"/>
  <c r="E164" i="8"/>
  <c r="C129" i="11"/>
  <c r="C16" i="4"/>
  <c r="H31" i="3"/>
  <c r="C34" i="4" s="1"/>
  <c r="L31" i="3"/>
  <c r="E45" i="6"/>
  <c r="F42" i="6"/>
  <c r="D97" i="4"/>
  <c r="D87" i="4"/>
  <c r="D22" i="3"/>
  <c r="I11" i="3"/>
  <c r="D96" i="4"/>
  <c r="M11" i="3"/>
  <c r="I4" i="3"/>
  <c r="G31" i="3"/>
  <c r="B34" i="4" s="1"/>
  <c r="B16" i="4"/>
  <c r="B55" i="2"/>
  <c r="B44" i="3"/>
  <c r="L44" i="3" s="1"/>
  <c r="C8" i="4"/>
  <c r="C9" i="4" s="1"/>
  <c r="D85" i="4"/>
  <c r="D148" i="8"/>
  <c r="D74" i="8"/>
  <c r="C47" i="3"/>
  <c r="C56" i="2"/>
  <c r="C43" i="4"/>
  <c r="C57" i="2"/>
  <c r="E106" i="11"/>
  <c r="E42" i="11"/>
  <c r="E40" i="11"/>
  <c r="E36" i="11" s="1"/>
  <c r="E60" i="11" s="1"/>
  <c r="C96" i="4"/>
  <c r="F111" i="8" l="1"/>
  <c r="F112" i="8" s="1"/>
  <c r="C75" i="11"/>
  <c r="D161" i="8"/>
  <c r="C48" i="3"/>
  <c r="C28" i="4"/>
  <c r="H47" i="3"/>
  <c r="C38" i="4" s="1"/>
  <c r="D111" i="8"/>
  <c r="D149" i="8"/>
  <c r="D109" i="8"/>
  <c r="C26" i="8"/>
  <c r="F39" i="8"/>
  <c r="C52" i="4"/>
  <c r="C57" i="4"/>
  <c r="G148" i="8"/>
  <c r="C148" i="8" s="1"/>
  <c r="G74" i="8"/>
  <c r="G159" i="8"/>
  <c r="G100" i="8"/>
  <c r="D75" i="11"/>
  <c r="E161" i="8"/>
  <c r="C183" i="8"/>
  <c r="D192" i="8"/>
  <c r="C192" i="8" s="1"/>
  <c r="D112" i="11"/>
  <c r="D65" i="11"/>
  <c r="D63" i="11"/>
  <c r="F159" i="8"/>
  <c r="F100" i="8"/>
  <c r="C96" i="8"/>
  <c r="G164" i="8"/>
  <c r="F132" i="11"/>
  <c r="F110" i="11"/>
  <c r="F12" i="8"/>
  <c r="G14" i="8"/>
  <c r="G12" i="8" s="1"/>
  <c r="B52" i="4"/>
  <c r="B57" i="4"/>
  <c r="G50" i="8"/>
  <c r="G51" i="8" s="1"/>
  <c r="D52" i="4"/>
  <c r="D57" i="4"/>
  <c r="C106" i="8"/>
  <c r="B47" i="3"/>
  <c r="L47" i="3" s="1"/>
  <c r="B43" i="4"/>
  <c r="B56" i="2"/>
  <c r="B57" i="2"/>
  <c r="D47" i="3"/>
  <c r="D43" i="4"/>
  <c r="D56" i="2"/>
  <c r="D57" i="2"/>
  <c r="D52" i="8"/>
  <c r="D55" i="8"/>
  <c r="D53" i="8"/>
  <c r="F82" i="8"/>
  <c r="G84" i="8"/>
  <c r="G82" i="8" s="1"/>
  <c r="G153" i="8" s="1"/>
  <c r="E109" i="8"/>
  <c r="E111" i="8"/>
  <c r="E149" i="8"/>
  <c r="D8" i="9" s="1"/>
  <c r="D10" i="9" s="1"/>
  <c r="D68" i="9"/>
  <c r="E18" i="8"/>
  <c r="E147" i="8"/>
  <c r="C28" i="11"/>
  <c r="C31" i="11" s="1"/>
  <c r="C32" i="11" s="1"/>
  <c r="C24" i="6"/>
  <c r="D24" i="6" s="1"/>
  <c r="C29" i="7"/>
  <c r="C25" i="7"/>
  <c r="D27" i="7" s="1"/>
  <c r="F164" i="8"/>
  <c r="C164" i="8" s="1"/>
  <c r="G42" i="6"/>
  <c r="G45" i="6" s="1"/>
  <c r="F45" i="6"/>
  <c r="F155" i="8"/>
  <c r="C155" i="8" s="1"/>
  <c r="C86" i="8"/>
  <c r="E158" i="8"/>
  <c r="E107" i="8"/>
  <c r="E165" i="8" s="1"/>
  <c r="D11" i="9" s="1"/>
  <c r="D158" i="8"/>
  <c r="D107" i="8"/>
  <c r="C112" i="11"/>
  <c r="C65" i="11"/>
  <c r="C63" i="11"/>
  <c r="E132" i="11"/>
  <c r="E110" i="11"/>
  <c r="C45" i="4"/>
  <c r="C47" i="4"/>
  <c r="C51" i="4" s="1"/>
  <c r="C49" i="4"/>
  <c r="B26" i="4"/>
  <c r="G44" i="3"/>
  <c r="B37" i="4" s="1"/>
  <c r="M22" i="3"/>
  <c r="I22" i="3"/>
  <c r="D26" i="4"/>
  <c r="I44" i="3"/>
  <c r="D37" i="4" s="1"/>
  <c r="M44" i="3"/>
  <c r="F77" i="8"/>
  <c r="G77" i="8"/>
  <c r="E108" i="8" l="1"/>
  <c r="E166" i="8" s="1"/>
  <c r="B49" i="4"/>
  <c r="B45" i="4"/>
  <c r="G101" i="8"/>
  <c r="G160" i="8"/>
  <c r="G18" i="8"/>
  <c r="G147" i="8"/>
  <c r="G109" i="8"/>
  <c r="C109" i="8" s="1"/>
  <c r="G111" i="8"/>
  <c r="E52" i="8"/>
  <c r="E53" i="8"/>
  <c r="E56" i="8" s="1"/>
  <c r="E55" i="8"/>
  <c r="E169" i="8" s="1"/>
  <c r="D47" i="4"/>
  <c r="D51" i="4" s="1"/>
  <c r="D45" i="4"/>
  <c r="D49" i="4"/>
  <c r="D169" i="8"/>
  <c r="C29" i="6"/>
  <c r="D29" i="6" s="1"/>
  <c r="C13" i="11"/>
  <c r="C14" i="11" s="1"/>
  <c r="C22" i="11" s="1"/>
  <c r="D57" i="8"/>
  <c r="C33" i="11"/>
  <c r="C49" i="3"/>
  <c r="C29" i="4"/>
  <c r="H48" i="3"/>
  <c r="C74" i="8"/>
  <c r="F152" i="8"/>
  <c r="F95" i="8"/>
  <c r="E64" i="11"/>
  <c r="C77" i="8"/>
  <c r="D165" i="8"/>
  <c r="E68" i="9"/>
  <c r="F153" i="8"/>
  <c r="C153" i="8" s="1"/>
  <c r="C82" i="8"/>
  <c r="D48" i="3"/>
  <c r="M47" i="3"/>
  <c r="D28" i="4"/>
  <c r="I47" i="3"/>
  <c r="D38" i="4" s="1"/>
  <c r="D108" i="8"/>
  <c r="C76" i="11"/>
  <c r="C62" i="11" s="1"/>
  <c r="C86" i="11" s="1"/>
  <c r="C87" i="11" s="1"/>
  <c r="C94" i="11" s="1"/>
  <c r="B48" i="3"/>
  <c r="B28" i="4"/>
  <c r="G47" i="3"/>
  <c r="B38" i="4" s="1"/>
  <c r="E112" i="8"/>
  <c r="E170" i="8" s="1"/>
  <c r="E167" i="8"/>
  <c r="D13" i="9" s="1"/>
  <c r="D14" i="9" s="1"/>
  <c r="D15" i="9" s="1"/>
  <c r="C8" i="9"/>
  <c r="D56" i="8"/>
  <c r="C50" i="8"/>
  <c r="F129" i="11"/>
  <c r="F101" i="8"/>
  <c r="F160" i="8"/>
  <c r="D112" i="8"/>
  <c r="D167" i="8"/>
  <c r="F18" i="8"/>
  <c r="F147" i="8"/>
  <c r="C147" i="8" s="1"/>
  <c r="C12" i="8"/>
  <c r="G152" i="8"/>
  <c r="G95" i="8"/>
  <c r="F64" i="11"/>
  <c r="E129" i="11"/>
  <c r="C159" i="8"/>
  <c r="D76" i="11"/>
  <c r="D113" i="11" s="1"/>
  <c r="D116" i="11" s="1"/>
  <c r="F51" i="8"/>
  <c r="C51" i="8" s="1"/>
  <c r="C39" i="8"/>
  <c r="E113" i="8" l="1"/>
  <c r="E136" i="8" s="1"/>
  <c r="D130" i="11"/>
  <c r="D131" i="11" s="1"/>
  <c r="D133" i="11" s="1"/>
  <c r="D117" i="11"/>
  <c r="D128" i="11" s="1"/>
  <c r="F158" i="8"/>
  <c r="F107" i="8"/>
  <c r="C95" i="8"/>
  <c r="G53" i="8"/>
  <c r="G52" i="8"/>
  <c r="G55" i="8"/>
  <c r="C160" i="8"/>
  <c r="C113" i="11"/>
  <c r="C116" i="11" s="1"/>
  <c r="C152" i="8"/>
  <c r="D59" i="8"/>
  <c r="E58" i="8" s="1"/>
  <c r="B49" i="3"/>
  <c r="G48" i="3"/>
  <c r="B29" i="4"/>
  <c r="C10" i="9"/>
  <c r="F52" i="8"/>
  <c r="F53" i="8"/>
  <c r="F55" i="8"/>
  <c r="F149" i="8"/>
  <c r="C18" i="8"/>
  <c r="D166" i="8"/>
  <c r="D113" i="8"/>
  <c r="L48" i="3"/>
  <c r="G169" i="8"/>
  <c r="B47" i="4"/>
  <c r="B51" i="4" s="1"/>
  <c r="F68" i="9"/>
  <c r="F75" i="11"/>
  <c r="G161" i="8"/>
  <c r="C11" i="9"/>
  <c r="G149" i="8"/>
  <c r="F8" i="9" s="1"/>
  <c r="C61" i="9"/>
  <c r="C63" i="9" s="1"/>
  <c r="D16" i="9"/>
  <c r="C93" i="11"/>
  <c r="C96" i="11" s="1"/>
  <c r="C98" i="11" s="1"/>
  <c r="D97" i="11" s="1"/>
  <c r="C88" i="11"/>
  <c r="F112" i="11"/>
  <c r="F65" i="11"/>
  <c r="F63" i="11" s="1"/>
  <c r="C50" i="3"/>
  <c r="L49" i="3"/>
  <c r="C30" i="4"/>
  <c r="H49" i="3"/>
  <c r="C40" i="4" s="1"/>
  <c r="C44" i="4"/>
  <c r="E57" i="8"/>
  <c r="G167" i="8"/>
  <c r="F13" i="9" s="1"/>
  <c r="G112" i="8"/>
  <c r="C112" i="8" s="1"/>
  <c r="E75" i="11"/>
  <c r="F161" i="8"/>
  <c r="C101" i="8"/>
  <c r="D62" i="11"/>
  <c r="D86" i="11" s="1"/>
  <c r="D87" i="11" s="1"/>
  <c r="C13" i="9"/>
  <c r="D170" i="8"/>
  <c r="G107" i="8"/>
  <c r="G158" i="8"/>
  <c r="D49" i="3"/>
  <c r="D29" i="4"/>
  <c r="I48" i="3"/>
  <c r="M48" i="3"/>
  <c r="E112" i="11"/>
  <c r="E65" i="11"/>
  <c r="E63" i="11"/>
  <c r="C111" i="8"/>
  <c r="E171" i="8" l="1"/>
  <c r="E195" i="8" s="1"/>
  <c r="E59" i="8"/>
  <c r="F58" i="8" s="1"/>
  <c r="D50" i="3"/>
  <c r="D44" i="4"/>
  <c r="M49" i="3"/>
  <c r="D30" i="4"/>
  <c r="I49" i="3"/>
  <c r="D40" i="4" s="1"/>
  <c r="D94" i="11"/>
  <c r="D96" i="11" s="1"/>
  <c r="D98" i="11" s="1"/>
  <c r="E97" i="11" s="1"/>
  <c r="D88" i="11"/>
  <c r="C56" i="4"/>
  <c r="C54" i="4"/>
  <c r="C59" i="4" s="1"/>
  <c r="C14" i="9"/>
  <c r="C15" i="9" s="1"/>
  <c r="F57" i="8"/>
  <c r="C57" i="8" s="1"/>
  <c r="C52" i="8"/>
  <c r="F56" i="8"/>
  <c r="F167" i="8"/>
  <c r="G68" i="9"/>
  <c r="F165" i="8"/>
  <c r="F108" i="8"/>
  <c r="C107" i="8"/>
  <c r="C130" i="11"/>
  <c r="C131" i="11" s="1"/>
  <c r="C133" i="11" s="1"/>
  <c r="C117" i="11"/>
  <c r="C128" i="11" s="1"/>
  <c r="C31" i="4"/>
  <c r="L50" i="3"/>
  <c r="H50" i="3"/>
  <c r="C39" i="4" s="1"/>
  <c r="C158" i="8"/>
  <c r="C161" i="8"/>
  <c r="F76" i="11"/>
  <c r="F62" i="11" s="1"/>
  <c r="F86" i="11" s="1"/>
  <c r="F87" i="11" s="1"/>
  <c r="F113" i="11"/>
  <c r="F116" i="11" s="1"/>
  <c r="E76" i="11"/>
  <c r="E62" i="11" s="1"/>
  <c r="E86" i="11" s="1"/>
  <c r="E87" i="11" s="1"/>
  <c r="E113" i="11"/>
  <c r="E116" i="11"/>
  <c r="G170" i="8"/>
  <c r="C53" i="8"/>
  <c r="E8" i="9"/>
  <c r="C149" i="8"/>
  <c r="B30" i="4"/>
  <c r="B50" i="3"/>
  <c r="B44" i="4"/>
  <c r="G49" i="3"/>
  <c r="B40" i="4" s="1"/>
  <c r="G57" i="8"/>
  <c r="D171" i="8"/>
  <c r="D136" i="8"/>
  <c r="G165" i="8"/>
  <c r="F11" i="9" s="1"/>
  <c r="F14" i="9" s="1"/>
  <c r="G108" i="8"/>
  <c r="F169" i="8"/>
  <c r="C169" i="8" s="1"/>
  <c r="C55" i="8"/>
  <c r="G56" i="8"/>
  <c r="E94" i="11" l="1"/>
  <c r="E96" i="11" s="1"/>
  <c r="E88" i="11"/>
  <c r="F130" i="11"/>
  <c r="F131" i="11" s="1"/>
  <c r="F133" i="11" s="1"/>
  <c r="F117" i="11"/>
  <c r="F128" i="11" s="1"/>
  <c r="E98" i="11"/>
  <c r="F97" i="11" s="1"/>
  <c r="F94" i="11"/>
  <c r="F96" i="11" s="1"/>
  <c r="F88" i="11"/>
  <c r="C16" i="9"/>
  <c r="B61" i="9"/>
  <c r="B63" i="9" s="1"/>
  <c r="B31" i="4"/>
  <c r="G50" i="3"/>
  <c r="B39" i="4" s="1"/>
  <c r="D54" i="4"/>
  <c r="D59" i="4" s="1"/>
  <c r="D56" i="4"/>
  <c r="G113" i="8"/>
  <c r="G166" i="8"/>
  <c r="H68" i="9"/>
  <c r="M50" i="3"/>
  <c r="D31" i="4"/>
  <c r="I50" i="3"/>
  <c r="D39" i="4" s="1"/>
  <c r="E10" i="9"/>
  <c r="B8" i="9"/>
  <c r="F170" i="8"/>
  <c r="C170" i="8" s="1"/>
  <c r="C56" i="8"/>
  <c r="F59" i="8"/>
  <c r="G58" i="8" s="1"/>
  <c r="G59" i="8" s="1"/>
  <c r="E11" i="9"/>
  <c r="C165" i="8"/>
  <c r="E130" i="11"/>
  <c r="E131" i="11" s="1"/>
  <c r="E133" i="11" s="1"/>
  <c r="E117" i="11"/>
  <c r="E128" i="11" s="1"/>
  <c r="B56" i="4"/>
  <c r="B54" i="4"/>
  <c r="B59" i="4" s="1"/>
  <c r="E13" i="9"/>
  <c r="B13" i="9" s="1"/>
  <c r="C167" i="8"/>
  <c r="D138" i="8"/>
  <c r="E137" i="8" s="1"/>
  <c r="E138" i="8" s="1"/>
  <c r="F137" i="8" s="1"/>
  <c r="D195" i="8"/>
  <c r="F166" i="8"/>
  <c r="F113" i="8"/>
  <c r="C108" i="8"/>
  <c r="C166" i="8" l="1"/>
  <c r="E14" i="9"/>
  <c r="B14" i="9" s="1"/>
  <c r="B11" i="9"/>
  <c r="F98" i="11"/>
  <c r="F171" i="8"/>
  <c r="F136" i="8"/>
  <c r="C113" i="8"/>
  <c r="F138" i="8"/>
  <c r="G137" i="8" s="1"/>
  <c r="I68" i="9"/>
  <c r="G171" i="8"/>
  <c r="G195" i="8" s="1"/>
  <c r="G136" i="8"/>
  <c r="E15" i="9" l="1"/>
  <c r="D61" i="9" s="1"/>
  <c r="D63" i="9" s="1"/>
  <c r="G138" i="8"/>
  <c r="C136" i="8"/>
  <c r="F195" i="8"/>
  <c r="C195" i="8" s="1"/>
  <c r="C171" i="8"/>
  <c r="J68" i="9"/>
  <c r="E16" i="9" l="1"/>
  <c r="K68" i="9"/>
  <c r="B72" i="9" l="1"/>
  <c r="C72" i="9" l="1"/>
  <c r="D72" i="9" l="1"/>
  <c r="E72" i="9" l="1"/>
  <c r="F72" i="9" l="1"/>
  <c r="G72" i="9" l="1"/>
  <c r="H72" i="9" l="1"/>
  <c r="I72" i="9" l="1"/>
  <c r="J72" i="9" l="1"/>
  <c r="K72" i="9" l="1"/>
  <c r="B76" i="9" l="1"/>
  <c r="C76" i="9" l="1"/>
  <c r="D76" i="9" l="1"/>
  <c r="E76" i="9" l="1"/>
  <c r="F76" i="9" l="1"/>
  <c r="G76" i="9" l="1"/>
  <c r="H76" i="9" l="1"/>
  <c r="I76" i="9" l="1"/>
  <c r="J76" i="9" l="1"/>
  <c r="K76" i="9" l="1"/>
  <c r="B80" i="9" l="1"/>
  <c r="C80" i="9" l="1"/>
  <c r="D80" i="9" l="1"/>
  <c r="E80" i="9" l="1"/>
  <c r="F80" i="9" l="1"/>
  <c r="G80" i="9" l="1"/>
  <c r="H80" i="9" l="1"/>
  <c r="I80" i="9" l="1"/>
  <c r="J80" i="9" l="1"/>
  <c r="K80" i="9" l="1"/>
  <c r="B84" i="9" l="1"/>
  <c r="C84" i="9" l="1"/>
  <c r="D84" i="9" l="1"/>
  <c r="E84" i="9" l="1"/>
  <c r="F84" i="9" l="1"/>
  <c r="G84" i="9" l="1"/>
  <c r="F10" i="9"/>
  <c r="B10" i="9" s="1"/>
  <c r="B9" i="9"/>
  <c r="F15" i="9" l="1"/>
  <c r="E61" i="9" s="1"/>
  <c r="F69" i="9" s="1"/>
  <c r="F16" i="9" l="1"/>
  <c r="B16" i="9" s="1"/>
  <c r="G69" i="9"/>
  <c r="F85" i="9"/>
  <c r="E69" i="9"/>
  <c r="K73" i="9"/>
  <c r="E73" i="9"/>
  <c r="C73" i="9"/>
  <c r="K77" i="9"/>
  <c r="J69" i="9"/>
  <c r="I73" i="9"/>
  <c r="J81" i="9"/>
  <c r="C77" i="9"/>
  <c r="G77" i="9"/>
  <c r="F81" i="9"/>
  <c r="B69" i="9"/>
  <c r="D85" i="9"/>
  <c r="K69" i="9"/>
  <c r="I81" i="9"/>
  <c r="H69" i="9"/>
  <c r="G85" i="9"/>
  <c r="H73" i="9"/>
  <c r="E85" i="9"/>
  <c r="D73" i="9"/>
  <c r="I69" i="9"/>
  <c r="G73" i="9"/>
  <c r="F77" i="9"/>
  <c r="E81" i="9"/>
  <c r="D69" i="9"/>
  <c r="I77" i="9"/>
  <c r="G81" i="9"/>
  <c r="C69" i="9"/>
  <c r="B73" i="9"/>
  <c r="B77" i="9"/>
  <c r="F73" i="9"/>
  <c r="E77" i="9"/>
  <c r="D81" i="9"/>
  <c r="C85" i="9"/>
  <c r="J73" i="9"/>
  <c r="J77" i="9"/>
  <c r="D77" i="9"/>
  <c r="C81" i="9"/>
  <c r="B85" i="9"/>
  <c r="C19" i="9"/>
  <c r="B15" i="9"/>
  <c r="H77" i="9"/>
  <c r="H81" i="9"/>
  <c r="B81" i="9"/>
  <c r="K81" i="9"/>
  <c r="B19" i="9"/>
  <c r="B18" i="9" l="1"/>
  <c r="E62" i="9"/>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<sst xmlns="http://schemas.openxmlformats.org/spreadsheetml/2006/main" count="947" uniqueCount="599">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</sst>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16384" width="9.109375" style="246"/>
  </cols>
  <sheetData>
    <row r="1" spans="1:5" s="31" customFormat="1" ht="14.4" customHeight="1" x14ac:dyDescent="0.3">
      <c r="A1" s="297" t="s">
        <v>0</v>
      </c>
      <c r="B1" s="29"/>
      <c r="C1" s="29"/>
      <c r="D1" s="29"/>
      <c r="E1" s="30"/>
    </row>
    <row r="2" spans="1:5" s="31" customFormat="1" x14ac:dyDescent="0.3">
      <c r="A2" s="32"/>
      <c r="B2" s="29"/>
      <c r="C2" s="29"/>
      <c r="D2" s="29"/>
      <c r="E2" s="30"/>
    </row>
    <row r="3" spans="1:5" s="31" customFormat="1" ht="43.5" customHeight="1" x14ac:dyDescent="0.3">
      <c r="A3" s="313" t="s">
        <v>1</v>
      </c>
      <c r="B3" s="314"/>
      <c r="C3" s="314"/>
      <c r="D3" s="314"/>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5">
        <v>0</v>
      </c>
      <c r="C12" s="275">
        <v>0</v>
      </c>
      <c r="D12" s="34">
        <v>0</v>
      </c>
    </row>
    <row r="13" spans="1:5" x14ac:dyDescent="0.3">
      <c r="A13" s="273" t="s">
        <v>10</v>
      </c>
      <c r="B13" s="277">
        <v>9161</v>
      </c>
      <c r="C13" s="277">
        <v>9161</v>
      </c>
      <c r="D13" s="274">
        <v>0</v>
      </c>
    </row>
    <row r="14" spans="1:5" x14ac:dyDescent="0.3">
      <c r="A14" s="33" t="s">
        <v>11</v>
      </c>
      <c r="B14" s="276">
        <v>0</v>
      </c>
      <c r="C14" s="276">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2">
        <f>SUM(B7+B16+B17)</f>
        <v>636456</v>
      </c>
      <c r="C18" s="182">
        <f>SUM(C7+C16+C17)</f>
        <v>778244</v>
      </c>
      <c r="D18" s="182">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3">
        <f>SUM(B21:B24)</f>
        <v>65899</v>
      </c>
      <c r="C25" s="283">
        <f>SUM(C21:C24)</f>
        <v>87174</v>
      </c>
      <c r="D25" s="39">
        <f>SUM(D21:D24)</f>
        <v>0</v>
      </c>
      <c r="E25" s="36"/>
    </row>
    <row r="26" spans="1:5" x14ac:dyDescent="0.3">
      <c r="A26" s="273" t="s">
        <v>23</v>
      </c>
      <c r="B26" s="277">
        <v>137951</v>
      </c>
      <c r="C26" s="277">
        <v>150831</v>
      </c>
      <c r="D26" s="274"/>
    </row>
    <row r="27" spans="1:5" x14ac:dyDescent="0.3">
      <c r="A27" s="33" t="s">
        <v>24</v>
      </c>
      <c r="B27" s="278">
        <v>0</v>
      </c>
      <c r="C27" s="278">
        <v>0</v>
      </c>
      <c r="D27" s="34">
        <v>0</v>
      </c>
    </row>
    <row r="28" spans="1:5" x14ac:dyDescent="0.3">
      <c r="A28" s="273" t="s">
        <v>25</v>
      </c>
      <c r="B28" s="277">
        <v>939911</v>
      </c>
      <c r="C28" s="277">
        <v>32762</v>
      </c>
      <c r="D28" s="274"/>
    </row>
    <row r="29" spans="1:5" s="51" customFormat="1" x14ac:dyDescent="0.3">
      <c r="A29" s="35" t="s">
        <v>26</v>
      </c>
      <c r="B29" s="279">
        <f>SUM(B26:B28)+B25</f>
        <v>1143761</v>
      </c>
      <c r="C29" s="279">
        <f>SUM(C26:C28)+C25</f>
        <v>270767</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80">
        <v>548359</v>
      </c>
      <c r="D35" s="34">
        <v>0</v>
      </c>
    </row>
    <row r="36" spans="1:5" x14ac:dyDescent="0.3">
      <c r="A36" s="33" t="s">
        <v>33</v>
      </c>
      <c r="B36" s="275">
        <v>0</v>
      </c>
      <c r="C36" s="275">
        <v>0</v>
      </c>
      <c r="D36" s="34">
        <v>0</v>
      </c>
    </row>
    <row r="37" spans="1:5" x14ac:dyDescent="0.3">
      <c r="A37" s="273" t="s">
        <v>34</v>
      </c>
      <c r="B37" s="277">
        <v>75256</v>
      </c>
      <c r="C37" s="277">
        <v>127965</v>
      </c>
      <c r="D37" s="274"/>
    </row>
    <row r="38" spans="1:5" x14ac:dyDescent="0.3">
      <c r="A38" s="33" t="s">
        <v>35</v>
      </c>
      <c r="B38" s="276">
        <v>0</v>
      </c>
      <c r="C38" s="276">
        <v>0</v>
      </c>
      <c r="D38" s="34">
        <v>0</v>
      </c>
    </row>
    <row r="39" spans="1:5" x14ac:dyDescent="0.3">
      <c r="A39" s="33" t="s">
        <v>36</v>
      </c>
      <c r="B39" s="34">
        <v>0</v>
      </c>
      <c r="C39" s="34">
        <v>0</v>
      </c>
      <c r="D39" s="34">
        <v>0</v>
      </c>
    </row>
    <row r="40" spans="1:5" ht="27.6" customHeight="1" x14ac:dyDescent="0.3">
      <c r="A40" s="33" t="s">
        <v>37</v>
      </c>
      <c r="B40" s="275">
        <v>0</v>
      </c>
      <c r="C40" s="275">
        <v>0</v>
      </c>
      <c r="D40" s="34">
        <v>0</v>
      </c>
    </row>
    <row r="41" spans="1:5" ht="27.6" customHeight="1" x14ac:dyDescent="0.3">
      <c r="A41" s="273" t="s">
        <v>38</v>
      </c>
      <c r="B41" s="277">
        <f>54806+77904</f>
        <v>132710</v>
      </c>
      <c r="C41" s="277">
        <f>45893+47249</f>
        <v>93142</v>
      </c>
      <c r="D41" s="274"/>
    </row>
    <row r="42" spans="1:5" x14ac:dyDescent="0.3">
      <c r="A42" s="35" t="s">
        <v>39</v>
      </c>
      <c r="B42" s="279">
        <f>SUM(B34:B41)</f>
        <v>946542</v>
      </c>
      <c r="C42" s="279">
        <f>SUM(C34:C41)</f>
        <v>769466</v>
      </c>
      <c r="D42" s="182">
        <f>SUM(D34:D41)</f>
        <v>0</v>
      </c>
    </row>
    <row r="43" spans="1:5" s="51" customFormat="1" x14ac:dyDescent="0.3">
      <c r="A43" s="35" t="s">
        <v>40</v>
      </c>
      <c r="B43" s="182">
        <f>B29+B31-B42-B58-B61-B64</f>
        <v>214052</v>
      </c>
      <c r="C43" s="182">
        <f>C29+C31-C42-C58-C61-C64</f>
        <v>-474466</v>
      </c>
      <c r="D43" s="182">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80">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80">
        <v>235428</v>
      </c>
      <c r="D53" s="34"/>
    </row>
    <row r="54" spans="1:5" s="51" customFormat="1" x14ac:dyDescent="0.3">
      <c r="A54" s="35" t="s">
        <v>47</v>
      </c>
      <c r="B54" s="182">
        <f>SUM(B46:B53)</f>
        <v>3177</v>
      </c>
      <c r="C54" s="182">
        <f>SUM(C46:C53)</f>
        <v>235428</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-16833</v>
      </c>
      <c r="C56" s="176">
        <f>C57+C60+C63+C66</f>
        <v>-24233</v>
      </c>
      <c r="D56" s="176">
        <f>D57+D60+D63+D66</f>
        <v>0</v>
      </c>
      <c r="E56" s="36"/>
    </row>
    <row r="57" spans="1:5" s="51" customFormat="1" x14ac:dyDescent="0.3">
      <c r="A57" s="33" t="s">
        <v>50</v>
      </c>
      <c r="B57" s="281">
        <f>B58+B59</f>
        <v>-16833</v>
      </c>
      <c r="C57" s="281">
        <f>C58+C59</f>
        <v>-24233</v>
      </c>
      <c r="D57" s="176">
        <f>D58+D59</f>
        <v>0</v>
      </c>
      <c r="E57" s="36"/>
    </row>
    <row r="58" spans="1:5" s="51" customFormat="1" x14ac:dyDescent="0.3">
      <c r="A58" s="273" t="s">
        <v>51</v>
      </c>
      <c r="B58" s="277">
        <v>-16833</v>
      </c>
      <c r="C58" s="277">
        <v>-24233</v>
      </c>
      <c r="D58" s="274">
        <v>0</v>
      </c>
      <c r="E58" s="36"/>
    </row>
    <row r="59" spans="1:5" s="51" customFormat="1" x14ac:dyDescent="0.3">
      <c r="A59" s="33" t="s">
        <v>52</v>
      </c>
      <c r="B59" s="276">
        <v>0</v>
      </c>
      <c r="C59" s="276">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3">
        <f>SUM(B69:B73)</f>
        <v>200</v>
      </c>
      <c r="C68" s="283">
        <f>SUM(C69:C73)</f>
        <v>200</v>
      </c>
      <c r="D68" s="39">
        <f>SUM(D69:D73)</f>
        <v>0</v>
      </c>
    </row>
    <row r="69" spans="1:5" x14ac:dyDescent="0.3">
      <c r="A69" s="282" t="s">
        <v>60</v>
      </c>
      <c r="B69" s="277">
        <v>200</v>
      </c>
      <c r="C69" s="277">
        <v>200</v>
      </c>
      <c r="D69" s="274"/>
    </row>
    <row r="70" spans="1:5" x14ac:dyDescent="0.3">
      <c r="A70" s="40" t="s">
        <v>61</v>
      </c>
      <c r="B70" s="276">
        <v>0</v>
      </c>
      <c r="C70" s="276">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5">
        <v>0</v>
      </c>
      <c r="C77" s="275">
        <v>0</v>
      </c>
      <c r="D77" s="34">
        <v>0</v>
      </c>
    </row>
    <row r="78" spans="1:5" x14ac:dyDescent="0.3">
      <c r="A78" s="273" t="s">
        <v>69</v>
      </c>
      <c r="B78" s="277">
        <v>40</v>
      </c>
      <c r="C78" s="277">
        <v>40</v>
      </c>
      <c r="D78" s="274"/>
    </row>
    <row r="79" spans="1:5" x14ac:dyDescent="0.3">
      <c r="A79" s="33" t="s">
        <v>70</v>
      </c>
      <c r="B79" s="276">
        <v>0</v>
      </c>
      <c r="C79" s="276">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2">
        <v>355760</v>
      </c>
      <c r="C83" s="284">
        <v>0</v>
      </c>
      <c r="D83" s="34"/>
    </row>
    <row r="84" spans="1:5" x14ac:dyDescent="0.3">
      <c r="A84" s="33" t="s">
        <v>68</v>
      </c>
      <c r="B84" s="34">
        <v>0</v>
      </c>
      <c r="C84" s="34"/>
      <c r="D84" s="34">
        <v>0</v>
      </c>
    </row>
    <row r="85" spans="1:5" x14ac:dyDescent="0.3">
      <c r="A85" s="35" t="s">
        <v>74</v>
      </c>
      <c r="B85" s="283">
        <f>B86-B87</f>
        <v>491331</v>
      </c>
      <c r="C85" s="283">
        <f>C86-C87</f>
        <v>68110</v>
      </c>
      <c r="D85" s="39">
        <f>D86-D87</f>
        <v>0</v>
      </c>
    </row>
    <row r="86" spans="1:5" x14ac:dyDescent="0.3">
      <c r="A86" s="273" t="s">
        <v>67</v>
      </c>
      <c r="B86" s="277">
        <v>491331</v>
      </c>
      <c r="C86" s="277">
        <v>68110</v>
      </c>
      <c r="D86" s="274"/>
    </row>
    <row r="87" spans="1:5" x14ac:dyDescent="0.3">
      <c r="A87" s="33" t="s">
        <v>68</v>
      </c>
      <c r="B87" s="276"/>
      <c r="C87" s="276">
        <v>0</v>
      </c>
      <c r="D87" s="34">
        <v>0</v>
      </c>
    </row>
    <row r="88" spans="1:5" x14ac:dyDescent="0.3">
      <c r="A88" s="33" t="s">
        <v>75</v>
      </c>
      <c r="B88" s="34">
        <v>0</v>
      </c>
      <c r="C88" s="34"/>
      <c r="D88" s="34"/>
    </row>
    <row r="89" spans="1:5" x14ac:dyDescent="0.3">
      <c r="A89" s="35" t="s">
        <v>76</v>
      </c>
      <c r="B89" s="182">
        <f>B68+B74+B75+B78-B79+B80-B81+B83-B84+B86-B87-B88</f>
        <v>847331</v>
      </c>
      <c r="C89" s="182">
        <f>C68+C74+C75+C78-C79+C80-C81+C83-C84+C86-C87-C88</f>
        <v>68350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847331</v>
      </c>
      <c r="C92" s="182">
        <f>C18+C29+C30-C42-C54-C55-C56</f>
        <v>68350</v>
      </c>
      <c r="D92" s="182">
        <f>D18+D29+D30-D42-D54-D55-D56</f>
        <v>0</v>
      </c>
    </row>
    <row r="93" spans="1:5" s="51" customFormat="1" x14ac:dyDescent="0.3">
      <c r="A93" s="35" t="s">
        <v>80</v>
      </c>
      <c r="B93" s="182">
        <f>B18+B29+B30</f>
        <v>1780217</v>
      </c>
      <c r="C93" s="182">
        <f>C18+C29+C30</f>
        <v>1049011</v>
      </c>
      <c r="D93" s="182">
        <f>D18+D29+D30</f>
        <v>0</v>
      </c>
      <c r="E93" s="36"/>
    </row>
    <row r="94" spans="1:5" s="51" customFormat="1" x14ac:dyDescent="0.3">
      <c r="A94" s="35" t="s">
        <v>81</v>
      </c>
      <c r="B94" s="182">
        <f>B42+B54+B55+B56+B89</f>
        <v>1780217</v>
      </c>
      <c r="C94" s="182">
        <f>C42+C54+C55+C56+C89</f>
        <v>1049011</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1" t="s">
        <v>490</v>
      </c>
      <c r="B2" s="253" t="s">
        <v>461</v>
      </c>
    </row>
    <row r="3" spans="1:2" x14ac:dyDescent="0.3">
      <c r="A3" s="352"/>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6" t="s">
        <v>492</v>
      </c>
      <c r="B1" s="395"/>
      <c r="C1" s="370"/>
      <c r="D1" s="370"/>
      <c r="E1" s="370"/>
    </row>
    <row r="2" spans="1:12" ht="13.8" customHeight="1" x14ac:dyDescent="0.3"/>
    <row r="3" spans="1:12" ht="15" customHeight="1" x14ac:dyDescent="0.3">
      <c r="A3" s="396" t="s">
        <v>493</v>
      </c>
      <c r="B3" s="378"/>
      <c r="C3" s="378"/>
      <c r="D3" s="378"/>
      <c r="E3" s="378"/>
      <c r="F3" s="378"/>
      <c r="G3" s="378"/>
      <c r="H3" s="378"/>
      <c r="I3" s="378"/>
      <c r="J3" s="378"/>
      <c r="K3" s="378"/>
      <c r="L3" s="378"/>
    </row>
    <row r="4" spans="1:12" s="270" customFormat="1" ht="13.8" customHeight="1" x14ac:dyDescent="0.3">
      <c r="A4" s="397" t="s">
        <v>494</v>
      </c>
      <c r="B4" s="397" t="s">
        <v>495</v>
      </c>
      <c r="C4" s="399" t="s">
        <v>360</v>
      </c>
      <c r="D4" s="326"/>
      <c r="E4" s="326"/>
      <c r="F4" s="337"/>
    </row>
    <row r="5" spans="1:12" s="270" customFormat="1" ht="24" customHeight="1" x14ac:dyDescent="0.3">
      <c r="A5" s="348"/>
      <c r="B5" s="348"/>
      <c r="C5" s="269" t="s">
        <v>361</v>
      </c>
      <c r="D5" s="269" t="s">
        <v>362</v>
      </c>
      <c r="E5" s="269" t="s">
        <v>363</v>
      </c>
      <c r="F5" s="269" t="s">
        <v>364</v>
      </c>
    </row>
    <row r="6" spans="1:12" ht="14.4" customHeight="1" x14ac:dyDescent="0.3">
      <c r="A6" s="400" t="s">
        <v>421</v>
      </c>
      <c r="B6" s="326"/>
      <c r="C6" s="326"/>
      <c r="D6" s="326"/>
      <c r="E6" s="326"/>
      <c r="F6" s="337"/>
      <c r="G6" s="16"/>
      <c r="H6" s="16"/>
      <c r="I6" s="16"/>
      <c r="J6" s="16"/>
      <c r="K6" s="16"/>
      <c r="L6" s="16"/>
    </row>
    <row r="7" spans="1:12" x14ac:dyDescent="0.3">
      <c r="A7" s="367" t="s">
        <v>422</v>
      </c>
      <c r="B7" s="337"/>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398" t="s">
        <v>502</v>
      </c>
      <c r="B14" s="337"/>
      <c r="C14" s="164">
        <f>C8+C9+C12+C13</f>
        <v>202294.43999999997</v>
      </c>
      <c r="D14" s="164">
        <f>D8+D9+D12+D13</f>
        <v>0</v>
      </c>
      <c r="E14" s="164">
        <f>E8+E9+E12+E13</f>
        <v>0</v>
      </c>
      <c r="F14" s="164">
        <f>F8+F9+F12+F13</f>
        <v>0</v>
      </c>
      <c r="G14" s="16"/>
      <c r="H14" s="16"/>
      <c r="I14" s="16"/>
      <c r="J14" s="16"/>
      <c r="K14" s="16"/>
      <c r="L14" s="16"/>
    </row>
    <row r="15" spans="1:12" x14ac:dyDescent="0.3">
      <c r="A15" s="367" t="s">
        <v>427</v>
      </c>
      <c r="B15" s="337"/>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6" t="s">
        <v>504</v>
      </c>
      <c r="C17" s="126">
        <v>0</v>
      </c>
      <c r="D17" s="126">
        <v>0</v>
      </c>
      <c r="E17" s="126">
        <v>0</v>
      </c>
      <c r="F17" s="126">
        <v>0</v>
      </c>
      <c r="G17" s="16"/>
      <c r="H17" s="171"/>
      <c r="I17" s="171"/>
      <c r="J17" s="171"/>
      <c r="K17" s="171"/>
      <c r="L17" s="171"/>
      <c r="M17" s="171"/>
      <c r="N17" s="171"/>
    </row>
    <row r="18" spans="1:14" ht="24" customHeight="1" x14ac:dyDescent="0.3">
      <c r="A18" s="5">
        <v>5.2</v>
      </c>
      <c r="B18" s="306" t="s">
        <v>505</v>
      </c>
      <c r="C18" s="126">
        <v>0</v>
      </c>
      <c r="D18" s="126">
        <v>0</v>
      </c>
      <c r="E18" s="126">
        <v>0</v>
      </c>
      <c r="F18" s="126">
        <v>0</v>
      </c>
      <c r="G18" s="16"/>
      <c r="H18" s="16"/>
      <c r="I18" s="16"/>
      <c r="J18" s="16"/>
      <c r="K18" s="16"/>
      <c r="L18" s="16"/>
    </row>
    <row r="19" spans="1:14" x14ac:dyDescent="0.3">
      <c r="A19" s="5">
        <v>6</v>
      </c>
      <c r="B19" s="306" t="s">
        <v>506</v>
      </c>
      <c r="C19" s="126">
        <v>0</v>
      </c>
      <c r="D19" s="126">
        <v>0</v>
      </c>
      <c r="E19" s="126">
        <v>0</v>
      </c>
      <c r="F19" s="126">
        <v>0</v>
      </c>
      <c r="G19" s="16"/>
      <c r="H19" s="16"/>
      <c r="I19" s="16"/>
      <c r="J19" s="16"/>
      <c r="K19" s="16"/>
      <c r="L19" s="16"/>
    </row>
    <row r="20" spans="1:14" x14ac:dyDescent="0.3">
      <c r="A20" s="5">
        <v>7</v>
      </c>
      <c r="B20" s="8" t="s">
        <v>507</v>
      </c>
      <c r="C20" s="126">
        <v>0</v>
      </c>
      <c r="D20" s="126">
        <v>0</v>
      </c>
      <c r="E20" s="126">
        <v>0</v>
      </c>
      <c r="F20" s="126">
        <v>0</v>
      </c>
      <c r="G20" s="16"/>
      <c r="H20" s="16"/>
      <c r="I20" s="16"/>
      <c r="J20" s="16"/>
      <c r="K20" s="16"/>
      <c r="L20" s="16"/>
    </row>
    <row r="21" spans="1:14" s="19" customFormat="1" x14ac:dyDescent="0.3">
      <c r="A21" s="398" t="s">
        <v>508</v>
      </c>
      <c r="B21" s="337"/>
      <c r="C21" s="164">
        <f>C16+C20+C19</f>
        <v>0</v>
      </c>
      <c r="D21" s="164">
        <f>D16+D20+D19</f>
        <v>0</v>
      </c>
      <c r="E21" s="164">
        <f>E16+E20+E19</f>
        <v>0</v>
      </c>
      <c r="F21" s="164">
        <f>F16+F20+F19</f>
        <v>0</v>
      </c>
    </row>
    <row r="22" spans="1:14" s="19" customFormat="1" x14ac:dyDescent="0.3">
      <c r="A22" s="398" t="s">
        <v>509</v>
      </c>
      <c r="B22" s="337"/>
      <c r="C22" s="164">
        <f>C14-C21</f>
        <v>202294.43999999997</v>
      </c>
      <c r="D22" s="164">
        <f>D14-D21</f>
        <v>0</v>
      </c>
      <c r="E22" s="164">
        <f>E14-E21</f>
        <v>0</v>
      </c>
      <c r="F22" s="164">
        <f>F14-F21</f>
        <v>0</v>
      </c>
    </row>
    <row r="23" spans="1:14" ht="14.4" customHeight="1" x14ac:dyDescent="0.3">
      <c r="A23" s="366" t="s">
        <v>510</v>
      </c>
      <c r="B23" s="326"/>
      <c r="C23" s="326"/>
      <c r="D23" s="326"/>
      <c r="E23" s="326"/>
      <c r="F23" s="337"/>
      <c r="G23" s="16"/>
      <c r="H23" s="16"/>
      <c r="I23" s="16"/>
      <c r="J23" s="16"/>
      <c r="K23" s="16"/>
      <c r="L23" s="16"/>
    </row>
    <row r="24" spans="1:14" x14ac:dyDescent="0.3">
      <c r="A24" s="367" t="s">
        <v>511</v>
      </c>
      <c r="B24" s="337"/>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8" t="s">
        <v>513</v>
      </c>
      <c r="B26" s="337"/>
      <c r="C26" s="127">
        <f>C25</f>
        <v>0</v>
      </c>
      <c r="D26" s="127">
        <f>D25</f>
        <v>0</v>
      </c>
      <c r="E26" s="127">
        <f>E25</f>
        <v>0</v>
      </c>
      <c r="F26" s="127">
        <f>F25</f>
        <v>0</v>
      </c>
      <c r="G26" s="16"/>
      <c r="H26" s="16"/>
      <c r="I26" s="16"/>
      <c r="J26" s="16"/>
      <c r="K26" s="16"/>
      <c r="L26" s="16"/>
    </row>
    <row r="27" spans="1:14" ht="27.75" customHeight="1" x14ac:dyDescent="0.3">
      <c r="A27" s="366" t="s">
        <v>514</v>
      </c>
      <c r="B27" s="337"/>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8" t="s">
        <v>516</v>
      </c>
      <c r="B31" s="337"/>
      <c r="C31" s="164">
        <f>SUM(C28:C30)</f>
        <v>434974.61</v>
      </c>
      <c r="D31" s="164">
        <f>SUM(D28:D30)</f>
        <v>0</v>
      </c>
      <c r="E31" s="164">
        <f>SUM(E28:E30)</f>
        <v>0</v>
      </c>
      <c r="F31" s="164">
        <f>SUM(F28:F30)</f>
        <v>0</v>
      </c>
      <c r="G31" s="16"/>
      <c r="H31" s="16"/>
      <c r="I31" s="16"/>
      <c r="J31" s="16"/>
      <c r="K31" s="16"/>
      <c r="L31" s="16"/>
    </row>
    <row r="32" spans="1:14" x14ac:dyDescent="0.3">
      <c r="A32" s="398" t="s">
        <v>517</v>
      </c>
      <c r="B32" s="337"/>
      <c r="C32" s="164">
        <f>C26-C31</f>
        <v>-434974.61</v>
      </c>
      <c r="D32" s="164">
        <f>D26-D31</f>
        <v>0</v>
      </c>
      <c r="E32" s="164">
        <f>E26-E31</f>
        <v>0</v>
      </c>
      <c r="F32" s="164">
        <f>F26-F31</f>
        <v>0</v>
      </c>
      <c r="G32" s="16"/>
      <c r="H32" s="16"/>
      <c r="I32" s="16"/>
      <c r="J32" s="16"/>
      <c r="K32" s="16"/>
      <c r="L32" s="16"/>
    </row>
    <row r="33" spans="1:12" x14ac:dyDescent="0.3">
      <c r="A33" s="398" t="s">
        <v>518</v>
      </c>
      <c r="B33" s="337"/>
      <c r="C33" s="164">
        <f>C32+C22</f>
        <v>-232680.17</v>
      </c>
      <c r="D33" s="164">
        <f>D32+D22</f>
        <v>0</v>
      </c>
      <c r="E33" s="164">
        <f>E32+E22</f>
        <v>0</v>
      </c>
      <c r="F33" s="164">
        <f>F32+F22</f>
        <v>0</v>
      </c>
      <c r="G33" s="16"/>
      <c r="H33" s="16"/>
      <c r="I33" s="16"/>
      <c r="J33" s="16"/>
      <c r="K33" s="16"/>
      <c r="L33" s="16"/>
    </row>
    <row r="34" spans="1:12" ht="14.4" customHeight="1" x14ac:dyDescent="0.3">
      <c r="A34" s="366" t="s">
        <v>441</v>
      </c>
      <c r="B34" s="326"/>
      <c r="C34" s="326"/>
      <c r="D34" s="326"/>
      <c r="E34" s="326"/>
      <c r="F34" s="337"/>
      <c r="G34" s="16"/>
      <c r="H34" s="16"/>
      <c r="I34" s="16"/>
      <c r="J34" s="16"/>
      <c r="K34" s="16"/>
      <c r="L34" s="16"/>
    </row>
    <row r="35" spans="1:12" x14ac:dyDescent="0.3">
      <c r="A35" s="5"/>
      <c r="B35" s="311" t="s">
        <v>519</v>
      </c>
      <c r="C35" s="164"/>
      <c r="D35" s="164"/>
      <c r="E35" s="164"/>
      <c r="F35" s="164"/>
      <c r="G35" s="16"/>
      <c r="H35" s="16"/>
      <c r="I35" s="16"/>
      <c r="J35" s="16"/>
      <c r="K35" s="16"/>
      <c r="L35" s="16"/>
    </row>
    <row r="36" spans="1:12" x14ac:dyDescent="0.3">
      <c r="A36" s="22">
        <v>11</v>
      </c>
      <c r="B36" s="23" t="s">
        <v>520</v>
      </c>
      <c r="C36" s="128">
        <f>C37+C40+C43+C46+C49+C52</f>
        <v>0</v>
      </c>
      <c r="D36" s="128">
        <f>D37+D40+D43+D46+D49+D52</f>
        <v>0</v>
      </c>
      <c r="E36" s="128">
        <f>E37+E40+E43+E46+E49+E52</f>
        <v>0</v>
      </c>
      <c r="F36" s="128">
        <f>F37+F40+F43+F46+F49+F52</f>
        <v>0</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v>0</v>
      </c>
      <c r="D38" s="126">
        <v>0</v>
      </c>
      <c r="E38" s="126">
        <v>0</v>
      </c>
      <c r="F38" s="126">
        <v>0</v>
      </c>
      <c r="G38" s="16"/>
      <c r="H38" s="16"/>
      <c r="I38" s="16"/>
      <c r="J38" s="16"/>
      <c r="K38" s="16"/>
      <c r="L38" s="16"/>
    </row>
    <row r="39" spans="1:12" x14ac:dyDescent="0.3">
      <c r="A39" s="22"/>
      <c r="B39" s="228" t="s">
        <v>522</v>
      </c>
      <c r="C39" s="126">
        <v>0</v>
      </c>
      <c r="D39" s="126">
        <v>0</v>
      </c>
      <c r="E39" s="126">
        <v>0</v>
      </c>
      <c r="F39" s="126">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D41*0.19</f>
        <v>0</v>
      </c>
      <c r="E42" s="126">
        <f>E41*0.19</f>
        <v>0</v>
      </c>
      <c r="F42" s="126">
        <f>F41*0.19</f>
        <v>0</v>
      </c>
      <c r="G42" s="16"/>
      <c r="H42" s="16"/>
      <c r="I42" s="16"/>
      <c r="J42" s="16"/>
      <c r="K42" s="16"/>
      <c r="L42" s="16"/>
    </row>
    <row r="43" spans="1:12" x14ac:dyDescent="0.3">
      <c r="A43" s="22" t="s">
        <v>526</v>
      </c>
      <c r="B43" s="23" t="s">
        <v>373</v>
      </c>
      <c r="C43" s="227">
        <f>C44+C45</f>
        <v>0</v>
      </c>
      <c r="D43" s="227">
        <f>D44+D45</f>
        <v>0</v>
      </c>
      <c r="E43" s="227">
        <f>E44+E45</f>
        <v>0</v>
      </c>
      <c r="F43" s="227">
        <f>F44+F45</f>
        <v>0</v>
      </c>
      <c r="G43" s="16"/>
      <c r="H43" s="16"/>
      <c r="I43" s="16"/>
      <c r="J43" s="16"/>
      <c r="K43" s="16"/>
      <c r="L43" s="16"/>
    </row>
    <row r="44" spans="1:12" x14ac:dyDescent="0.3">
      <c r="A44" s="22"/>
      <c r="B44" s="228" t="s">
        <v>527</v>
      </c>
      <c r="C44" s="126">
        <v>0</v>
      </c>
      <c r="D44" s="126">
        <v>0</v>
      </c>
      <c r="E44" s="126">
        <v>0</v>
      </c>
      <c r="F44" s="126">
        <v>0</v>
      </c>
      <c r="G44" s="16"/>
      <c r="H44" s="16"/>
      <c r="I44" s="16"/>
      <c r="J44" s="16"/>
      <c r="K44" s="16"/>
      <c r="L44" s="16"/>
    </row>
    <row r="45" spans="1:12" x14ac:dyDescent="0.3">
      <c r="A45" s="22"/>
      <c r="B45" s="228" t="s">
        <v>528</v>
      </c>
      <c r="C45" s="126">
        <v>0</v>
      </c>
      <c r="D45" s="126">
        <v>0</v>
      </c>
      <c r="E45" s="126">
        <v>0</v>
      </c>
      <c r="F45" s="126">
        <v>0</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v>0</v>
      </c>
      <c r="D47" s="126">
        <v>0</v>
      </c>
      <c r="E47" s="126">
        <v>0</v>
      </c>
      <c r="F47" s="126">
        <v>0</v>
      </c>
      <c r="G47" s="16"/>
      <c r="H47" s="16"/>
      <c r="I47" s="16"/>
      <c r="J47" s="16"/>
      <c r="K47" s="16"/>
      <c r="L47" s="16"/>
    </row>
    <row r="48" spans="1:12" ht="24" customHeight="1" x14ac:dyDescent="0.3">
      <c r="A48" s="22"/>
      <c r="B48" s="228" t="s">
        <v>532</v>
      </c>
      <c r="C48" s="126">
        <v>0</v>
      </c>
      <c r="D48" s="126">
        <v>0</v>
      </c>
      <c r="E48" s="126">
        <v>0</v>
      </c>
      <c r="F48" s="126">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0</v>
      </c>
      <c r="D52" s="165">
        <f>D53+D54</f>
        <v>0</v>
      </c>
      <c r="E52" s="165">
        <f>E53+E54</f>
        <v>0</v>
      </c>
      <c r="F52" s="165">
        <f>F53+F54</f>
        <v>0</v>
      </c>
    </row>
    <row r="53" spans="1:12" x14ac:dyDescent="0.3">
      <c r="A53" s="5"/>
      <c r="B53" s="8" t="s">
        <v>538</v>
      </c>
      <c r="C53" s="126">
        <v>0</v>
      </c>
      <c r="D53" s="126">
        <v>0</v>
      </c>
      <c r="E53" s="126">
        <v>0</v>
      </c>
      <c r="F53" s="126">
        <v>0</v>
      </c>
      <c r="G53" s="16"/>
      <c r="H53" s="16"/>
      <c r="I53" s="16"/>
      <c r="J53" s="16"/>
      <c r="K53" s="16"/>
      <c r="L53" s="16"/>
    </row>
    <row r="54" spans="1:12" x14ac:dyDescent="0.3">
      <c r="A54" s="5"/>
      <c r="B54" s="8" t="s">
        <v>539</v>
      </c>
      <c r="C54" s="126">
        <v>0</v>
      </c>
      <c r="D54" s="126">
        <v>0</v>
      </c>
      <c r="E54" s="126">
        <v>0</v>
      </c>
      <c r="F54" s="126">
        <v>0</v>
      </c>
      <c r="G54" s="16"/>
      <c r="H54" s="16"/>
      <c r="I54" s="16"/>
      <c r="J54" s="16"/>
      <c r="K54" s="16"/>
      <c r="L54" s="16"/>
    </row>
    <row r="55" spans="1:12" x14ac:dyDescent="0.3">
      <c r="A55" s="5" t="s">
        <v>540</v>
      </c>
      <c r="B55" s="14" t="s">
        <v>110</v>
      </c>
      <c r="C55" s="128">
        <f>C56+C57+C58+C59</f>
        <v>0</v>
      </c>
      <c r="D55" s="128">
        <f>D56+D57+D58+D59</f>
        <v>0</v>
      </c>
      <c r="E55" s="128">
        <f>E56+E57+E58+E59</f>
        <v>0</v>
      </c>
      <c r="F55" s="128">
        <f>F56+F57+F58+F59</f>
        <v>0</v>
      </c>
      <c r="G55" s="16"/>
      <c r="H55" s="16"/>
      <c r="I55" s="16"/>
      <c r="J55" s="16"/>
      <c r="K55" s="16"/>
      <c r="L55" s="16"/>
    </row>
    <row r="56" spans="1:12" x14ac:dyDescent="0.3">
      <c r="A56" s="5" t="s">
        <v>541</v>
      </c>
      <c r="B56" s="6" t="s">
        <v>106</v>
      </c>
      <c r="C56" s="126">
        <v>0</v>
      </c>
      <c r="D56" s="126">
        <v>0</v>
      </c>
      <c r="E56" s="126">
        <v>0</v>
      </c>
      <c r="F56" s="126">
        <v>0</v>
      </c>
      <c r="G56" s="16"/>
      <c r="H56" s="16"/>
      <c r="I56" s="16"/>
      <c r="J56" s="16"/>
      <c r="K56" s="16"/>
      <c r="L56" s="16"/>
    </row>
    <row r="57" spans="1:12" ht="24" customHeight="1" x14ac:dyDescent="0.3">
      <c r="A57" s="5" t="s">
        <v>542</v>
      </c>
      <c r="B57" s="6" t="s">
        <v>543</v>
      </c>
      <c r="C57" s="126">
        <v>0</v>
      </c>
      <c r="D57" s="126">
        <v>0</v>
      </c>
      <c r="E57" s="126">
        <v>0</v>
      </c>
      <c r="F57" s="126">
        <v>0</v>
      </c>
      <c r="G57" s="16"/>
      <c r="H57" s="16"/>
      <c r="I57" s="16"/>
      <c r="J57" s="16"/>
      <c r="K57" s="16"/>
      <c r="L57" s="16"/>
    </row>
    <row r="58" spans="1:12" x14ac:dyDescent="0.3">
      <c r="A58" s="5" t="s">
        <v>544</v>
      </c>
      <c r="B58" s="6" t="s">
        <v>545</v>
      </c>
      <c r="C58" s="126">
        <f>'1B-ContPP'!D29*1.1</f>
        <v>0</v>
      </c>
      <c r="D58" s="126">
        <f t="shared" ref="D58:F59" si="0">C58*1.1</f>
        <v>0</v>
      </c>
      <c r="E58" s="126">
        <f t="shared" si="0"/>
        <v>0</v>
      </c>
      <c r="F58" s="126">
        <f t="shared" si="0"/>
        <v>0</v>
      </c>
      <c r="G58" s="16"/>
      <c r="H58" s="16"/>
      <c r="I58" s="16"/>
      <c r="J58" s="16"/>
      <c r="K58" s="16"/>
      <c r="L58" s="16"/>
    </row>
    <row r="59" spans="1:12" ht="36" customHeight="1" x14ac:dyDescent="0.3">
      <c r="A59" s="5" t="s">
        <v>546</v>
      </c>
      <c r="B59" s="6" t="s">
        <v>547</v>
      </c>
      <c r="C59" s="126">
        <f>'1B-ContPP'!D31*1.1</f>
        <v>0</v>
      </c>
      <c r="D59" s="126">
        <f t="shared" si="0"/>
        <v>0</v>
      </c>
      <c r="E59" s="126">
        <f t="shared" si="0"/>
        <v>0</v>
      </c>
      <c r="F59" s="126">
        <f t="shared" si="0"/>
        <v>0</v>
      </c>
      <c r="G59" s="16"/>
      <c r="H59" s="16"/>
      <c r="I59" s="16"/>
      <c r="J59" s="16"/>
      <c r="K59" s="16"/>
      <c r="L59" s="16"/>
    </row>
    <row r="60" spans="1:12" s="19" customFormat="1" x14ac:dyDescent="0.3">
      <c r="A60" s="398" t="s">
        <v>548</v>
      </c>
      <c r="B60" s="337"/>
      <c r="C60" s="164">
        <f>C55+C36</f>
        <v>0</v>
      </c>
      <c r="D60" s="164">
        <f>D55+D36</f>
        <v>0</v>
      </c>
      <c r="E60" s="164">
        <f>E55+E36</f>
        <v>0</v>
      </c>
      <c r="F60" s="164">
        <f>F55+F36</f>
        <v>0</v>
      </c>
    </row>
    <row r="61" spans="1:12" x14ac:dyDescent="0.3">
      <c r="A61" s="5"/>
      <c r="B61" s="311" t="s">
        <v>445</v>
      </c>
      <c r="C61" s="127"/>
      <c r="D61" s="127"/>
      <c r="E61" s="127"/>
      <c r="F61" s="127"/>
      <c r="G61" s="16"/>
      <c r="H61" s="16"/>
      <c r="I61" s="16"/>
      <c r="J61" s="16"/>
      <c r="K61" s="16"/>
      <c r="L61" s="16"/>
    </row>
    <row r="62" spans="1:12" x14ac:dyDescent="0.3">
      <c r="A62" s="5"/>
      <c r="B62" s="14" t="s">
        <v>549</v>
      </c>
      <c r="C62" s="164">
        <f>C63+C66+C69+C72+C75+C76+C77</f>
        <v>1398236.6788125001</v>
      </c>
      <c r="D62" s="164">
        <f>D63+D66+D69+D72+D75+D76+D77</f>
        <v>1517839.4497177501</v>
      </c>
      <c r="E62" s="164">
        <f>E63+E66+E69+E72+E75+E76+E77</f>
        <v>1637442.2206230001</v>
      </c>
      <c r="F62" s="164">
        <f>F63+F66+F69+F72+F75+F76+F77</f>
        <v>1757044.99152825</v>
      </c>
      <c r="G62" s="16"/>
      <c r="H62" s="16"/>
      <c r="I62" s="16"/>
      <c r="J62" s="16"/>
      <c r="K62" s="16"/>
      <c r="L62" s="16"/>
    </row>
    <row r="63" spans="1:12" s="19" customFormat="1" x14ac:dyDescent="0.3">
      <c r="A63" s="20">
        <v>13</v>
      </c>
      <c r="B63" s="21" t="s">
        <v>379</v>
      </c>
      <c r="C63" s="165">
        <f>C64+C65</f>
        <v>224782.40820000001</v>
      </c>
      <c r="D63" s="165">
        <f>D64+D65</f>
        <v>229278.05636400005</v>
      </c>
      <c r="E63" s="165">
        <f>E64+E65</f>
        <v>233773.70452800006</v>
      </c>
      <c r="F63" s="165">
        <f>F64+F65</f>
        <v>238269.35269200007</v>
      </c>
    </row>
    <row r="64" spans="1:12" ht="24" customHeight="1" x14ac:dyDescent="0.3">
      <c r="A64" s="5"/>
      <c r="B64" s="6" t="s">
        <v>550</v>
      </c>
      <c r="C64" s="126">
        <f>'3A-Proiectii_fin_investitie'!D77/1.19</f>
        <v>188892.78</v>
      </c>
      <c r="D64" s="126">
        <f>'3A-Proiectii_fin_investitie'!E77/1.19</f>
        <v>192670.63560000004</v>
      </c>
      <c r="E64" s="126">
        <f>'3A-Proiectii_fin_investitie'!F77/1.19</f>
        <v>196448.49120000005</v>
      </c>
      <c r="F64" s="126">
        <f>'3A-Proiectii_fin_investitie'!G77/1.19</f>
        <v>200226.34680000006</v>
      </c>
      <c r="G64" s="16"/>
      <c r="H64" s="171"/>
      <c r="I64" s="171"/>
      <c r="J64" s="16"/>
      <c r="K64" s="16"/>
      <c r="L64" s="16"/>
    </row>
    <row r="65" spans="1:12" ht="24" customHeight="1" x14ac:dyDescent="0.3">
      <c r="A65" s="5"/>
      <c r="B65" s="6" t="s">
        <v>551</v>
      </c>
      <c r="C65" s="126">
        <f>C64*0.19</f>
        <v>35889.628199999999</v>
      </c>
      <c r="D65" s="126">
        <f>D64*0.19</f>
        <v>36607.42076400001</v>
      </c>
      <c r="E65" s="126">
        <f>E64*0.19</f>
        <v>37325.213328000013</v>
      </c>
      <c r="F65" s="126">
        <f>F64*0.19</f>
        <v>38043.005892000008</v>
      </c>
      <c r="G65" s="16"/>
      <c r="H65" s="16"/>
      <c r="I65" s="16"/>
      <c r="J65" s="16"/>
      <c r="K65" s="16"/>
      <c r="L65" s="16"/>
    </row>
    <row r="66" spans="1:12" s="19" customFormat="1" x14ac:dyDescent="0.3">
      <c r="A66" s="20">
        <v>14</v>
      </c>
      <c r="B66" s="21" t="s">
        <v>93</v>
      </c>
      <c r="C66" s="165">
        <f>C67+C68</f>
        <v>27978.804000000004</v>
      </c>
      <c r="D66" s="165">
        <f>D67+D68</f>
        <v>28538.380079999999</v>
      </c>
      <c r="E66" s="165">
        <f>E67+E68</f>
        <v>29097.956159999998</v>
      </c>
      <c r="F66" s="165">
        <f>F67+F68</f>
        <v>29657.53224</v>
      </c>
    </row>
    <row r="67" spans="1:12" x14ac:dyDescent="0.3">
      <c r="A67" s="5"/>
      <c r="B67" s="6" t="s">
        <v>552</v>
      </c>
      <c r="C67" s="126">
        <f>'3A-Proiectii_fin_investitie'!D85/1.19</f>
        <v>23511.600000000002</v>
      </c>
      <c r="D67" s="126">
        <f>'3A-Proiectii_fin_investitie'!E85/1.19</f>
        <v>23981.831999999999</v>
      </c>
      <c r="E67" s="126">
        <f>'3A-Proiectii_fin_investitie'!F85/1.19</f>
        <v>24452.063999999998</v>
      </c>
      <c r="F67" s="126">
        <f>'3A-Proiectii_fin_investitie'!G85/1.19</f>
        <v>24922.295999999998</v>
      </c>
      <c r="G67" s="16"/>
      <c r="H67" s="16"/>
      <c r="I67" s="16"/>
      <c r="J67" s="16"/>
      <c r="K67" s="16"/>
      <c r="L67" s="16"/>
    </row>
    <row r="68" spans="1:12" x14ac:dyDescent="0.3">
      <c r="A68" s="5"/>
      <c r="B68" s="6" t="s">
        <v>553</v>
      </c>
      <c r="C68" s="126">
        <f>C67*0.19</f>
        <v>4467.2040000000006</v>
      </c>
      <c r="D68" s="126">
        <f>D67*0.19</f>
        <v>4556.5480799999996</v>
      </c>
      <c r="E68" s="126">
        <f>E67*0.19</f>
        <v>4645.8921599999994</v>
      </c>
      <c r="F68" s="126">
        <f>F67*0.19</f>
        <v>4735.2362400000002</v>
      </c>
      <c r="G68" s="16"/>
      <c r="H68" s="16"/>
      <c r="I68" s="16"/>
      <c r="J68" s="16"/>
      <c r="K68" s="16"/>
      <c r="L68" s="16"/>
    </row>
    <row r="69" spans="1:12" s="19" customFormat="1" x14ac:dyDescent="0.3">
      <c r="A69" s="20">
        <v>15</v>
      </c>
      <c r="B69" s="21" t="s">
        <v>554</v>
      </c>
      <c r="C69" s="165">
        <f>C70+C71</f>
        <v>0</v>
      </c>
      <c r="D69" s="165">
        <f>D70+D71</f>
        <v>0</v>
      </c>
      <c r="E69" s="165">
        <f>E70+E71</f>
        <v>0</v>
      </c>
      <c r="F69" s="165">
        <f>F70+F71</f>
        <v>0</v>
      </c>
    </row>
    <row r="70" spans="1:12" x14ac:dyDescent="0.3">
      <c r="A70" s="5"/>
      <c r="B70" s="6" t="s">
        <v>555</v>
      </c>
      <c r="C70" s="126">
        <v>0</v>
      </c>
      <c r="D70" s="126">
        <v>0</v>
      </c>
      <c r="E70" s="126">
        <v>0</v>
      </c>
      <c r="F70" s="126">
        <v>0</v>
      </c>
      <c r="G70" s="16"/>
      <c r="H70" s="16"/>
      <c r="I70" s="16"/>
      <c r="J70" s="16"/>
      <c r="K70" s="16"/>
      <c r="L70" s="16"/>
    </row>
    <row r="71" spans="1:12" x14ac:dyDescent="0.3">
      <c r="A71" s="5"/>
      <c r="B71" s="6" t="s">
        <v>556</v>
      </c>
      <c r="C71" s="126">
        <v>0</v>
      </c>
      <c r="D71" s="126">
        <v>0</v>
      </c>
      <c r="E71" s="126">
        <v>0</v>
      </c>
      <c r="F71" s="126">
        <v>0</v>
      </c>
      <c r="G71" s="16"/>
      <c r="H71" s="16"/>
      <c r="I71" s="16"/>
      <c r="J71" s="16"/>
      <c r="K71" s="16"/>
      <c r="L71" s="16"/>
    </row>
    <row r="72" spans="1:12" s="19" customFormat="1" x14ac:dyDescent="0.3">
      <c r="A72" s="20">
        <v>16</v>
      </c>
      <c r="B72" s="21" t="s">
        <v>384</v>
      </c>
      <c r="C72" s="165">
        <f>C73+C74</f>
        <v>0</v>
      </c>
      <c r="D72" s="165">
        <f>D73+D74</f>
        <v>0</v>
      </c>
      <c r="E72" s="165">
        <f>E73+E74</f>
        <v>0</v>
      </c>
      <c r="F72" s="165">
        <f>F73+F74</f>
        <v>0</v>
      </c>
    </row>
    <row r="73" spans="1:12" x14ac:dyDescent="0.3">
      <c r="A73" s="5"/>
      <c r="B73" s="6" t="s">
        <v>557</v>
      </c>
      <c r="C73" s="126">
        <v>0</v>
      </c>
      <c r="D73" s="126">
        <v>0</v>
      </c>
      <c r="E73" s="126">
        <v>0</v>
      </c>
      <c r="F73" s="126">
        <v>0</v>
      </c>
      <c r="G73" s="16"/>
      <c r="H73" s="16"/>
      <c r="I73" s="16"/>
      <c r="J73" s="16"/>
      <c r="K73" s="16"/>
      <c r="L73" s="16"/>
    </row>
    <row r="74" spans="1:12" x14ac:dyDescent="0.3">
      <c r="A74" s="5"/>
      <c r="B74" s="6" t="s">
        <v>558</v>
      </c>
      <c r="C74" s="126">
        <v>0</v>
      </c>
      <c r="D74" s="126">
        <v>0</v>
      </c>
      <c r="E74" s="126">
        <v>0</v>
      </c>
      <c r="F74" s="126">
        <v>0</v>
      </c>
      <c r="G74" s="16"/>
      <c r="H74" s="16"/>
      <c r="I74" s="16"/>
      <c r="J74" s="16"/>
      <c r="K74" s="16"/>
      <c r="L74" s="16"/>
    </row>
    <row r="75" spans="1:12" s="19" customFormat="1" x14ac:dyDescent="0.3">
      <c r="A75" s="20">
        <v>17</v>
      </c>
      <c r="B75" s="21" t="s">
        <v>559</v>
      </c>
      <c r="C75" s="126">
        <f>'3A-Proiectii_fin_investitie'!D101</f>
        <v>1120269.405</v>
      </c>
      <c r="D75" s="126">
        <f>'3A-Proiectii_fin_investitie'!E101</f>
        <v>1232296.3455000001</v>
      </c>
      <c r="E75" s="126">
        <f>'3A-Proiectii_fin_investitie'!F101</f>
        <v>1344323.2860000001</v>
      </c>
      <c r="F75" s="126">
        <f>'3A-Proiectii_fin_investitie'!G101</f>
        <v>1456350.2265000001</v>
      </c>
    </row>
    <row r="76" spans="1:12" s="19" customFormat="1" x14ac:dyDescent="0.3">
      <c r="A76" s="20">
        <v>18</v>
      </c>
      <c r="B76" s="21" t="s">
        <v>397</v>
      </c>
      <c r="C76" s="126">
        <f>C75*2.25/100</f>
        <v>25206.061612499998</v>
      </c>
      <c r="D76" s="126">
        <f>D75*2.25/100</f>
        <v>27726.667773749999</v>
      </c>
      <c r="E76" s="126">
        <f>E75*2.25/100</f>
        <v>30247.273935000001</v>
      </c>
      <c r="F76" s="126">
        <f>F75*2.25/100</f>
        <v>32767.880096250003</v>
      </c>
    </row>
    <row r="77" spans="1:12" s="19" customFormat="1" ht="24" customHeight="1" x14ac:dyDescent="0.3">
      <c r="A77" s="20">
        <v>19</v>
      </c>
      <c r="B77" s="21" t="s">
        <v>560</v>
      </c>
      <c r="C77" s="165">
        <f>C78+C79</f>
        <v>0</v>
      </c>
      <c r="D77" s="165">
        <f>D78+D79</f>
        <v>0</v>
      </c>
      <c r="E77" s="165">
        <f>E78+E79</f>
        <v>0</v>
      </c>
      <c r="F77" s="165">
        <f>F78+F79</f>
        <v>0</v>
      </c>
    </row>
    <row r="78" spans="1:12" x14ac:dyDescent="0.3">
      <c r="A78" s="5"/>
      <c r="B78" s="6" t="s">
        <v>561</v>
      </c>
      <c r="C78" s="126"/>
      <c r="D78" s="126">
        <v>0</v>
      </c>
      <c r="E78" s="126">
        <v>0</v>
      </c>
      <c r="F78" s="126">
        <v>0</v>
      </c>
      <c r="G78" s="16"/>
      <c r="H78" s="16"/>
      <c r="I78" s="16"/>
      <c r="J78" s="16"/>
      <c r="K78" s="16"/>
      <c r="L78" s="16"/>
    </row>
    <row r="79" spans="1:12" x14ac:dyDescent="0.3">
      <c r="A79" s="5"/>
      <c r="B79" s="6" t="s">
        <v>562</v>
      </c>
      <c r="C79" s="126">
        <v>0</v>
      </c>
      <c r="D79" s="126">
        <v>0</v>
      </c>
      <c r="E79" s="126">
        <v>0</v>
      </c>
      <c r="F79" s="126">
        <v>0</v>
      </c>
      <c r="G79" s="16"/>
      <c r="H79" s="16"/>
      <c r="I79" s="16"/>
      <c r="J79" s="16"/>
      <c r="K79" s="16"/>
      <c r="L79" s="16"/>
    </row>
    <row r="80" spans="1:12" x14ac:dyDescent="0.3">
      <c r="A80" s="5"/>
      <c r="B80" s="311" t="s">
        <v>114</v>
      </c>
      <c r="C80" s="164">
        <f>C81+C85</f>
        <v>0</v>
      </c>
      <c r="D80" s="164">
        <f>D81+D85</f>
        <v>0</v>
      </c>
      <c r="E80" s="164">
        <f>E81+E85</f>
        <v>0</v>
      </c>
      <c r="F80" s="164">
        <f>F81+F85</f>
        <v>0</v>
      </c>
      <c r="G80" s="16"/>
      <c r="H80" s="16"/>
      <c r="I80" s="16"/>
      <c r="J80" s="16"/>
      <c r="K80" s="16"/>
      <c r="L80" s="16"/>
    </row>
    <row r="81" spans="1:12" x14ac:dyDescent="0.3">
      <c r="A81" s="5">
        <v>20</v>
      </c>
      <c r="B81" s="21" t="s">
        <v>563</v>
      </c>
      <c r="C81" s="164">
        <f>SUM(C82:C84)</f>
        <v>0</v>
      </c>
      <c r="D81" s="164">
        <f>SUM(D82:D84)</f>
        <v>0</v>
      </c>
      <c r="E81" s="164">
        <f>SUM(E82:E84)</f>
        <v>0</v>
      </c>
      <c r="F81" s="164">
        <f>SUM(F82:F84)</f>
        <v>0</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v>0</v>
      </c>
      <c r="D83" s="126">
        <v>0</v>
      </c>
      <c r="E83" s="126">
        <v>0</v>
      </c>
      <c r="F83" s="126">
        <v>0</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v>0</v>
      </c>
      <c r="D85" s="126">
        <v>0</v>
      </c>
      <c r="E85" s="126">
        <v>0</v>
      </c>
      <c r="F85" s="126">
        <v>0</v>
      </c>
    </row>
    <row r="86" spans="1:12" x14ac:dyDescent="0.3">
      <c r="A86" s="398" t="s">
        <v>568</v>
      </c>
      <c r="B86" s="337"/>
      <c r="C86" s="164">
        <f>C62+C80</f>
        <v>1398236.6788125001</v>
      </c>
      <c r="D86" s="164">
        <f>D62+D80</f>
        <v>1517839.4497177501</v>
      </c>
      <c r="E86" s="164">
        <f>E62+E80</f>
        <v>1637442.2206230001</v>
      </c>
      <c r="F86" s="164">
        <f>F62+F80</f>
        <v>1757044.99152825</v>
      </c>
      <c r="G86" s="16"/>
      <c r="H86" s="16"/>
      <c r="I86" s="16"/>
      <c r="J86" s="16"/>
      <c r="K86" s="16"/>
      <c r="L86" s="16"/>
    </row>
    <row r="87" spans="1:12" x14ac:dyDescent="0.3">
      <c r="A87" s="398" t="s">
        <v>569</v>
      </c>
      <c r="B87" s="337"/>
      <c r="C87" s="164">
        <f>C60-C86</f>
        <v>-1398236.6788125001</v>
      </c>
      <c r="D87" s="164">
        <f>D60-D86</f>
        <v>-1517839.4497177501</v>
      </c>
      <c r="E87" s="164">
        <f>E60-E86</f>
        <v>-1637442.2206230001</v>
      </c>
      <c r="F87" s="164">
        <f>F60-F86</f>
        <v>-1757044.99152825</v>
      </c>
      <c r="G87" s="16"/>
      <c r="H87" s="16"/>
      <c r="I87" s="16"/>
      <c r="J87" s="16"/>
      <c r="K87" s="16"/>
      <c r="L87" s="16"/>
    </row>
    <row r="88" spans="1:12" ht="25.5" customHeight="1" x14ac:dyDescent="0.3">
      <c r="A88" s="398" t="s">
        <v>570</v>
      </c>
      <c r="B88" s="337"/>
      <c r="C88" s="164">
        <f>C33+C87</f>
        <v>-1630916.8488125</v>
      </c>
      <c r="D88" s="164">
        <f>D33+D87</f>
        <v>-1517839.4497177501</v>
      </c>
      <c r="E88" s="164">
        <f>E33+E87</f>
        <v>-1637442.2206230001</v>
      </c>
      <c r="F88" s="164">
        <f>F33+F87</f>
        <v>-1757044.99152825</v>
      </c>
      <c r="G88" s="16"/>
      <c r="H88" s="16"/>
      <c r="I88" s="16"/>
      <c r="J88" s="16"/>
      <c r="K88" s="16"/>
      <c r="L88" s="16"/>
    </row>
    <row r="89" spans="1:12" x14ac:dyDescent="0.3">
      <c r="A89" s="5">
        <v>22</v>
      </c>
      <c r="B89" s="8" t="s">
        <v>405</v>
      </c>
      <c r="C89" s="126">
        <v>0</v>
      </c>
      <c r="D89" s="126">
        <v>0</v>
      </c>
      <c r="E89" s="126">
        <v>0</v>
      </c>
      <c r="F89" s="126">
        <v>0</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8" t="s">
        <v>572</v>
      </c>
      <c r="B92" s="337"/>
      <c r="C92" s="164">
        <f>C89-C90+C91</f>
        <v>0</v>
      </c>
      <c r="D92" s="164">
        <f>D89-D90+D91</f>
        <v>0</v>
      </c>
      <c r="E92" s="164">
        <f>E89-E90+E91</f>
        <v>0</v>
      </c>
      <c r="F92" s="164">
        <f>F89-F90+F91</f>
        <v>0</v>
      </c>
      <c r="G92" s="16"/>
      <c r="H92" s="16"/>
      <c r="I92" s="16"/>
      <c r="J92" s="16"/>
      <c r="K92" s="16"/>
      <c r="L92" s="16"/>
    </row>
    <row r="93" spans="1:12" x14ac:dyDescent="0.3">
      <c r="A93" s="398" t="s">
        <v>518</v>
      </c>
      <c r="B93" s="337"/>
      <c r="C93" s="164">
        <f>C33</f>
        <v>-232680.17</v>
      </c>
      <c r="D93" s="164">
        <f>D33</f>
        <v>0</v>
      </c>
      <c r="E93" s="164">
        <f>E33</f>
        <v>0</v>
      </c>
      <c r="F93" s="164">
        <f>F33</f>
        <v>0</v>
      </c>
      <c r="G93" s="16"/>
      <c r="H93" s="16"/>
      <c r="I93" s="16"/>
      <c r="J93" s="16"/>
      <c r="K93" s="16"/>
      <c r="L93" s="16"/>
    </row>
    <row r="94" spans="1:12" x14ac:dyDescent="0.3">
      <c r="A94" s="398" t="s">
        <v>573</v>
      </c>
      <c r="B94" s="337"/>
      <c r="C94" s="164">
        <f>C87-C92</f>
        <v>-1398236.6788125001</v>
      </c>
      <c r="D94" s="164">
        <f>D87-D92</f>
        <v>-1517839.4497177501</v>
      </c>
      <c r="E94" s="164">
        <f>E87-E92</f>
        <v>-1637442.2206230001</v>
      </c>
      <c r="F94" s="164">
        <f>F87-F92</f>
        <v>-1757044.99152825</v>
      </c>
      <c r="G94" s="16"/>
      <c r="H94" s="16"/>
      <c r="I94" s="16"/>
      <c r="J94" s="16"/>
      <c r="K94" s="16"/>
      <c r="L94" s="16"/>
    </row>
    <row r="95" spans="1:12" ht="14.4" customHeight="1" x14ac:dyDescent="0.3">
      <c r="A95" s="366" t="s">
        <v>574</v>
      </c>
      <c r="B95" s="326"/>
      <c r="C95" s="326"/>
      <c r="D95" s="326"/>
      <c r="E95" s="326"/>
      <c r="F95" s="337"/>
      <c r="G95" s="16"/>
      <c r="H95" s="16"/>
      <c r="I95" s="16"/>
      <c r="J95" s="16"/>
      <c r="K95" s="16"/>
      <c r="L95" s="16"/>
    </row>
    <row r="96" spans="1:12" x14ac:dyDescent="0.3">
      <c r="A96" s="398" t="s">
        <v>575</v>
      </c>
      <c r="B96" s="337"/>
      <c r="C96" s="164">
        <f>C93+C94</f>
        <v>-1630916.8488125</v>
      </c>
      <c r="D96" s="164">
        <f>D93+D94</f>
        <v>-1517839.4497177501</v>
      </c>
      <c r="E96" s="164">
        <f>E93+E94</f>
        <v>-1637442.2206230001</v>
      </c>
      <c r="F96" s="164">
        <f>F93+F94</f>
        <v>-1757044.99152825</v>
      </c>
      <c r="G96" s="16"/>
      <c r="H96" s="16"/>
      <c r="I96" s="16"/>
      <c r="J96" s="16"/>
      <c r="K96" s="16"/>
      <c r="L96" s="16"/>
    </row>
    <row r="97" spans="1:12" x14ac:dyDescent="0.3">
      <c r="A97" s="398" t="s">
        <v>410</v>
      </c>
      <c r="B97" s="337"/>
      <c r="C97" s="164">
        <f>'1A-Bilant'!D28</f>
        <v>0</v>
      </c>
      <c r="D97" s="164">
        <f>C98</f>
        <v>-1630916.8488125</v>
      </c>
      <c r="E97" s="164">
        <f>D98</f>
        <v>-3148756.2985302499</v>
      </c>
      <c r="F97" s="164">
        <f>E98</f>
        <v>-4786198.5191532504</v>
      </c>
      <c r="G97" s="16"/>
      <c r="H97" s="16"/>
      <c r="I97" s="16"/>
      <c r="J97" s="16"/>
      <c r="K97" s="16"/>
      <c r="L97" s="16"/>
    </row>
    <row r="98" spans="1:12" x14ac:dyDescent="0.3">
      <c r="A98" s="398" t="s">
        <v>411</v>
      </c>
      <c r="B98" s="337"/>
      <c r="C98" s="164">
        <f>C97+C96</f>
        <v>-1630916.8488125</v>
      </c>
      <c r="D98" s="164">
        <f>D97+D96</f>
        <v>-3148756.2985302499</v>
      </c>
      <c r="E98" s="164">
        <f>E97+E96</f>
        <v>-4786198.5191532504</v>
      </c>
      <c r="F98" s="164">
        <f>F97+F96</f>
        <v>-6543243.5106815007</v>
      </c>
      <c r="G98" s="16"/>
      <c r="H98" s="16"/>
      <c r="I98" s="16"/>
      <c r="J98" s="16"/>
      <c r="K98" s="16"/>
      <c r="L98" s="16"/>
    </row>
    <row r="102" spans="1:12" x14ac:dyDescent="0.3">
      <c r="A102" s="401" t="s">
        <v>576</v>
      </c>
      <c r="B102" s="395"/>
      <c r="C102" s="370"/>
      <c r="D102" s="370"/>
      <c r="E102" s="370"/>
      <c r="F102" s="370"/>
      <c r="G102" s="370"/>
      <c r="H102" s="370"/>
      <c r="I102" s="370"/>
      <c r="J102" s="370"/>
      <c r="K102" s="370"/>
      <c r="L102" s="370"/>
    </row>
    <row r="103" spans="1:12" x14ac:dyDescent="0.3">
      <c r="A103" s="397" t="s">
        <v>494</v>
      </c>
      <c r="B103" s="397" t="s">
        <v>495</v>
      </c>
      <c r="C103" s="399" t="s">
        <v>360</v>
      </c>
      <c r="D103" s="326"/>
      <c r="E103" s="326"/>
      <c r="F103" s="337"/>
      <c r="G103" s="16"/>
      <c r="H103" s="16"/>
      <c r="I103" s="16"/>
      <c r="J103" s="16"/>
      <c r="K103" s="16"/>
      <c r="L103" s="16"/>
    </row>
    <row r="104" spans="1:12" ht="24" customHeight="1" x14ac:dyDescent="0.3">
      <c r="A104" s="348"/>
      <c r="B104" s="348"/>
      <c r="C104" s="15" t="s">
        <v>361</v>
      </c>
      <c r="D104" s="15" t="s">
        <v>362</v>
      </c>
      <c r="E104" s="15" t="s">
        <v>363</v>
      </c>
      <c r="F104" s="15" t="s">
        <v>364</v>
      </c>
      <c r="G104" s="16"/>
      <c r="H104" s="16"/>
      <c r="I104" s="16"/>
      <c r="J104" s="16"/>
      <c r="K104" s="16"/>
      <c r="L104" s="16"/>
    </row>
    <row r="105" spans="1:12" ht="14.4" customHeight="1" x14ac:dyDescent="0.3">
      <c r="A105" s="394" t="s">
        <v>577</v>
      </c>
      <c r="B105" s="326"/>
      <c r="C105" s="326"/>
      <c r="D105" s="326"/>
      <c r="E105" s="326"/>
      <c r="F105" s="337"/>
      <c r="G105" s="16"/>
      <c r="H105" s="16"/>
      <c r="I105" s="16"/>
      <c r="J105" s="16"/>
      <c r="K105" s="16"/>
      <c r="L105" s="16"/>
    </row>
    <row r="106" spans="1:12" x14ac:dyDescent="0.3">
      <c r="A106" s="4">
        <v>1</v>
      </c>
      <c r="B106" s="24" t="s">
        <v>578</v>
      </c>
      <c r="C106" s="166">
        <f>C38+C41+C44+C47+C50</f>
        <v>0</v>
      </c>
      <c r="D106" s="166">
        <f>D38+D41+D44+D47+D50</f>
        <v>0</v>
      </c>
      <c r="E106" s="166">
        <f>E38+E41+E44+E47+E50</f>
        <v>0</v>
      </c>
      <c r="F106" s="166">
        <f>F38+F41+F44+F47+F50</f>
        <v>0</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v>0</v>
      </c>
      <c r="D109" s="260">
        <v>0</v>
      </c>
      <c r="E109" s="260">
        <v>0</v>
      </c>
      <c r="F109" s="260">
        <v>0</v>
      </c>
      <c r="G109" s="16"/>
      <c r="H109" s="16"/>
      <c r="I109" s="16"/>
      <c r="J109" s="16"/>
      <c r="K109" s="16"/>
      <c r="L109" s="16"/>
    </row>
    <row r="110" spans="1:12" x14ac:dyDescent="0.3">
      <c r="A110" s="392" t="s">
        <v>581</v>
      </c>
      <c r="B110" s="337"/>
      <c r="C110" s="162">
        <f>SUM(C106:C109)</f>
        <v>0</v>
      </c>
      <c r="D110" s="162">
        <f>SUM(D106:D109)</f>
        <v>0</v>
      </c>
      <c r="E110" s="162">
        <f>SUM(E106:E109)</f>
        <v>0</v>
      </c>
      <c r="F110" s="162">
        <f>SUM(F106:F109)</f>
        <v>0</v>
      </c>
      <c r="G110" s="16"/>
      <c r="H110" s="16"/>
      <c r="I110" s="16"/>
      <c r="J110" s="16"/>
      <c r="K110" s="16"/>
      <c r="L110" s="16"/>
    </row>
    <row r="111" spans="1:12" ht="14.4" customHeight="1" x14ac:dyDescent="0.3">
      <c r="A111" s="393" t="s">
        <v>582</v>
      </c>
      <c r="B111" s="326"/>
      <c r="C111" s="326"/>
      <c r="D111" s="326"/>
      <c r="E111" s="326"/>
      <c r="F111" s="337"/>
      <c r="G111" s="16"/>
      <c r="H111" s="16"/>
      <c r="I111" s="16"/>
      <c r="J111" s="16"/>
      <c r="K111" s="16"/>
      <c r="L111" s="16"/>
    </row>
    <row r="112" spans="1:12" x14ac:dyDescent="0.3">
      <c r="A112" s="4">
        <v>5</v>
      </c>
      <c r="B112" s="24" t="s">
        <v>583</v>
      </c>
      <c r="C112" s="167">
        <f>C64+C67+C73+C70</f>
        <v>212404.38</v>
      </c>
      <c r="D112" s="167">
        <f>D64+D67+D73+D70</f>
        <v>216652.46760000003</v>
      </c>
      <c r="E112" s="167">
        <f>E64+E67+E73+E70</f>
        <v>220900.55520000006</v>
      </c>
      <c r="F112" s="167">
        <f>F64+F67+F73+F70</f>
        <v>225148.64280000006</v>
      </c>
      <c r="G112" s="16"/>
      <c r="H112" s="171"/>
      <c r="I112" s="16"/>
      <c r="J112" s="16"/>
      <c r="K112" s="16"/>
      <c r="L112" s="16"/>
    </row>
    <row r="113" spans="1:12" x14ac:dyDescent="0.3">
      <c r="A113" s="4">
        <v>6</v>
      </c>
      <c r="B113" s="24" t="s">
        <v>584</v>
      </c>
      <c r="C113" s="167">
        <f>C75+C76</f>
        <v>1145475.4666125001</v>
      </c>
      <c r="D113" s="167">
        <f>D75+D76</f>
        <v>1260023.01327375</v>
      </c>
      <c r="E113" s="167">
        <f>E75+E76</f>
        <v>1374570.559935</v>
      </c>
      <c r="F113" s="167">
        <f>F75+F76</f>
        <v>1489118.1065962501</v>
      </c>
      <c r="G113" s="16"/>
      <c r="H113" s="16"/>
      <c r="I113" s="16"/>
      <c r="J113" s="16"/>
      <c r="K113" s="16"/>
      <c r="L113" s="16"/>
    </row>
    <row r="114" spans="1:12" x14ac:dyDescent="0.3">
      <c r="A114" s="4">
        <v>7</v>
      </c>
      <c r="B114" s="24" t="s">
        <v>585</v>
      </c>
      <c r="C114" s="170">
        <v>0</v>
      </c>
      <c r="D114" s="170">
        <v>0</v>
      </c>
      <c r="E114" s="170">
        <v>0</v>
      </c>
      <c r="F114" s="170">
        <v>0</v>
      </c>
      <c r="G114" s="16"/>
      <c r="H114" s="16"/>
      <c r="I114" s="16"/>
      <c r="J114" s="16"/>
      <c r="K114" s="16"/>
      <c r="L114" s="16"/>
    </row>
    <row r="115" spans="1:12" ht="24" customHeight="1" x14ac:dyDescent="0.3">
      <c r="A115" s="4">
        <v>8</v>
      </c>
      <c r="B115" s="24" t="s">
        <v>560</v>
      </c>
      <c r="C115" s="167">
        <f>C78</f>
        <v>0</v>
      </c>
      <c r="D115" s="167">
        <f>D78</f>
        <v>0</v>
      </c>
      <c r="E115" s="167">
        <f>E78</f>
        <v>0</v>
      </c>
      <c r="F115" s="167">
        <f>F78</f>
        <v>0</v>
      </c>
      <c r="G115" s="16"/>
      <c r="H115" s="16"/>
      <c r="I115" s="16"/>
      <c r="J115" s="16"/>
      <c r="K115" s="16"/>
      <c r="L115" s="16"/>
    </row>
    <row r="116" spans="1:12" x14ac:dyDescent="0.3">
      <c r="A116" s="392" t="s">
        <v>586</v>
      </c>
      <c r="B116" s="337"/>
      <c r="C116" s="312">
        <f>SUM(C112:C115)</f>
        <v>1357879.8466125</v>
      </c>
      <c r="D116" s="312">
        <f>SUM(D112:D115)</f>
        <v>1476675.4808737501</v>
      </c>
      <c r="E116" s="312">
        <f>SUM(E112:E115)</f>
        <v>1595471.1151350001</v>
      </c>
      <c r="F116" s="312">
        <f>SUM(F112:F115)</f>
        <v>1714266.7493962501</v>
      </c>
      <c r="G116" s="16"/>
      <c r="H116" s="16"/>
      <c r="I116" s="16"/>
      <c r="J116" s="16"/>
      <c r="K116" s="16"/>
      <c r="L116" s="16"/>
    </row>
    <row r="117" spans="1:12" x14ac:dyDescent="0.3">
      <c r="A117" s="392" t="s">
        <v>103</v>
      </c>
      <c r="B117" s="337"/>
      <c r="C117" s="312">
        <f>C110-C116</f>
        <v>-1357879.8466125</v>
      </c>
      <c r="D117" s="312">
        <f>D110-D116</f>
        <v>-1476675.4808737501</v>
      </c>
      <c r="E117" s="312">
        <f>E110-E116</f>
        <v>-1595471.1151350001</v>
      </c>
      <c r="F117" s="312">
        <f>F110-F116</f>
        <v>-1714266.7493962501</v>
      </c>
      <c r="G117" s="16"/>
      <c r="H117" s="16"/>
      <c r="I117" s="16"/>
      <c r="J117" s="16"/>
      <c r="K117" s="16"/>
      <c r="L117" s="16"/>
    </row>
    <row r="118" spans="1:12" ht="14.4" customHeight="1" x14ac:dyDescent="0.3">
      <c r="A118" s="393" t="s">
        <v>587</v>
      </c>
      <c r="B118" s="326"/>
      <c r="C118" s="326"/>
      <c r="D118" s="326"/>
      <c r="E118" s="326"/>
      <c r="F118" s="337"/>
      <c r="G118" s="16"/>
      <c r="H118" s="16"/>
      <c r="I118" s="16"/>
      <c r="J118" s="16"/>
      <c r="K118" s="16"/>
      <c r="L118" s="16"/>
    </row>
    <row r="119" spans="1:12" x14ac:dyDescent="0.3">
      <c r="A119" s="392" t="s">
        <v>588</v>
      </c>
      <c r="B119" s="337"/>
      <c r="C119" s="312">
        <f>C55</f>
        <v>0</v>
      </c>
      <c r="D119" s="312">
        <f>D55</f>
        <v>0</v>
      </c>
      <c r="E119" s="312">
        <f>E55</f>
        <v>0</v>
      </c>
      <c r="F119" s="312">
        <f>F55</f>
        <v>0</v>
      </c>
      <c r="G119" s="16"/>
      <c r="H119" s="16"/>
      <c r="I119" s="16"/>
      <c r="J119" s="16"/>
      <c r="K119" s="16"/>
      <c r="L119" s="16"/>
    </row>
    <row r="120" spans="1:12" ht="14.4" customHeight="1" x14ac:dyDescent="0.3">
      <c r="A120" s="393" t="s">
        <v>589</v>
      </c>
      <c r="B120" s="326"/>
      <c r="C120" s="326"/>
      <c r="D120" s="326"/>
      <c r="E120" s="326"/>
      <c r="F120" s="337"/>
      <c r="G120" s="16"/>
      <c r="H120" s="16"/>
      <c r="I120" s="16"/>
      <c r="J120" s="16"/>
      <c r="K120" s="16"/>
      <c r="L120" s="16"/>
    </row>
    <row r="121" spans="1:12" x14ac:dyDescent="0.3">
      <c r="A121" s="4">
        <v>9</v>
      </c>
      <c r="B121" s="24" t="s">
        <v>563</v>
      </c>
      <c r="C121" s="167">
        <f>C122+C123+C124</f>
        <v>0</v>
      </c>
      <c r="D121" s="167">
        <f>D122+D123+D124</f>
        <v>0</v>
      </c>
      <c r="E121" s="167">
        <f>E122+E123+E124</f>
        <v>0</v>
      </c>
      <c r="F121" s="167">
        <f>F122+F123+F124</f>
        <v>0</v>
      </c>
      <c r="G121" s="16"/>
      <c r="H121" s="16"/>
      <c r="I121" s="16"/>
      <c r="J121" s="16"/>
      <c r="K121" s="16"/>
      <c r="L121" s="16"/>
    </row>
    <row r="122" spans="1:12" x14ac:dyDescent="0.3">
      <c r="A122" s="4"/>
      <c r="B122" s="53" t="s">
        <v>564</v>
      </c>
      <c r="C122" s="168">
        <f t="shared" ref="C122:F125" si="1">C82</f>
        <v>0</v>
      </c>
      <c r="D122" s="168">
        <f t="shared" si="1"/>
        <v>0</v>
      </c>
      <c r="E122" s="168">
        <f t="shared" si="1"/>
        <v>0</v>
      </c>
      <c r="F122" s="168">
        <f t="shared" si="1"/>
        <v>0</v>
      </c>
      <c r="G122" s="16"/>
      <c r="H122" s="16"/>
      <c r="I122" s="16"/>
      <c r="J122" s="16"/>
      <c r="K122" s="16"/>
      <c r="L122" s="16"/>
    </row>
    <row r="123" spans="1:12" ht="24" customHeight="1" x14ac:dyDescent="0.3">
      <c r="A123" s="4"/>
      <c r="B123" s="53" t="s">
        <v>565</v>
      </c>
      <c r="C123" s="168">
        <f t="shared" si="1"/>
        <v>0</v>
      </c>
      <c r="D123" s="168">
        <f t="shared" si="1"/>
        <v>0</v>
      </c>
      <c r="E123" s="168">
        <f t="shared" si="1"/>
        <v>0</v>
      </c>
      <c r="F123" s="168">
        <f t="shared" si="1"/>
        <v>0</v>
      </c>
      <c r="G123" s="16"/>
      <c r="H123" s="16"/>
      <c r="I123" s="16"/>
      <c r="J123" s="16"/>
      <c r="K123" s="16"/>
      <c r="L123" s="16"/>
    </row>
    <row r="124" spans="1:12" x14ac:dyDescent="0.3">
      <c r="A124" s="4"/>
      <c r="B124" s="53" t="s">
        <v>566</v>
      </c>
      <c r="C124" s="168">
        <f t="shared" si="1"/>
        <v>0</v>
      </c>
      <c r="D124" s="168">
        <f t="shared" si="1"/>
        <v>0</v>
      </c>
      <c r="E124" s="168">
        <f t="shared" si="1"/>
        <v>0</v>
      </c>
      <c r="F124" s="168">
        <f t="shared" si="1"/>
        <v>0</v>
      </c>
      <c r="G124" s="16"/>
      <c r="H124" s="16"/>
      <c r="I124" s="16"/>
      <c r="J124" s="16"/>
      <c r="K124" s="16"/>
      <c r="L124" s="16"/>
    </row>
    <row r="125" spans="1:12" x14ac:dyDescent="0.3">
      <c r="A125" s="4">
        <v>10</v>
      </c>
      <c r="B125" s="24" t="s">
        <v>590</v>
      </c>
      <c r="C125" s="168">
        <f t="shared" si="1"/>
        <v>0</v>
      </c>
      <c r="D125" s="168">
        <f t="shared" si="1"/>
        <v>0</v>
      </c>
      <c r="E125" s="168">
        <f t="shared" si="1"/>
        <v>0</v>
      </c>
      <c r="F125" s="168">
        <f t="shared" si="1"/>
        <v>0</v>
      </c>
      <c r="G125" s="16"/>
      <c r="H125" s="16"/>
      <c r="I125" s="16"/>
      <c r="J125" s="16"/>
      <c r="K125" s="16"/>
      <c r="L125" s="16"/>
    </row>
    <row r="126" spans="1:12" x14ac:dyDescent="0.3">
      <c r="A126" s="392" t="s">
        <v>591</v>
      </c>
      <c r="B126" s="337"/>
      <c r="C126" s="312">
        <f>C121+C125</f>
        <v>0</v>
      </c>
      <c r="D126" s="312">
        <f>D121+D125</f>
        <v>0</v>
      </c>
      <c r="E126" s="312">
        <f>E121+E125</f>
        <v>0</v>
      </c>
      <c r="F126" s="312">
        <f>F121+F125</f>
        <v>0</v>
      </c>
      <c r="G126" s="16"/>
      <c r="H126" s="16"/>
      <c r="I126" s="16"/>
      <c r="J126" s="16"/>
      <c r="K126" s="16"/>
      <c r="L126" s="16"/>
    </row>
    <row r="127" spans="1:12" x14ac:dyDescent="0.3">
      <c r="A127" s="392" t="s">
        <v>115</v>
      </c>
      <c r="B127" s="337"/>
      <c r="C127" s="312">
        <f>C119-C126</f>
        <v>0</v>
      </c>
      <c r="D127" s="312">
        <f>D119-D126</f>
        <v>0</v>
      </c>
      <c r="E127" s="312">
        <f>E119-E126</f>
        <v>0</v>
      </c>
      <c r="F127" s="312">
        <f>F119-F126</f>
        <v>0</v>
      </c>
      <c r="G127" s="16"/>
      <c r="H127" s="16"/>
      <c r="I127" s="16"/>
      <c r="J127" s="16"/>
      <c r="K127" s="16"/>
      <c r="L127" s="16"/>
    </row>
    <row r="128" spans="1:12" x14ac:dyDescent="0.3">
      <c r="A128" s="25"/>
      <c r="B128" s="312" t="s">
        <v>592</v>
      </c>
      <c r="C128" s="312">
        <f>C117+C127</f>
        <v>-1357879.8466125</v>
      </c>
      <c r="D128" s="312">
        <f>D117+D127</f>
        <v>-1476675.4808737501</v>
      </c>
      <c r="E128" s="312">
        <f>E117+E127</f>
        <v>-1595471.1151350001</v>
      </c>
      <c r="F128" s="312">
        <f>F117+F127</f>
        <v>-1714266.7493962501</v>
      </c>
      <c r="G128" s="16"/>
      <c r="H128" s="16"/>
      <c r="I128" s="16"/>
      <c r="J128" s="16"/>
      <c r="K128" s="16"/>
      <c r="L128" s="16"/>
    </row>
    <row r="129" spans="1:12" x14ac:dyDescent="0.3">
      <c r="A129" s="245"/>
      <c r="B129" s="26" t="s">
        <v>593</v>
      </c>
      <c r="C129" s="169">
        <f>C110+C119</f>
        <v>0</v>
      </c>
      <c r="D129" s="169">
        <f>D110+D119</f>
        <v>0</v>
      </c>
      <c r="E129" s="169">
        <f>E110+E119</f>
        <v>0</v>
      </c>
      <c r="F129" s="169">
        <f>F110+F119</f>
        <v>0</v>
      </c>
      <c r="G129" s="16"/>
      <c r="H129" s="16"/>
      <c r="I129" s="16"/>
      <c r="J129" s="16"/>
      <c r="K129" s="16"/>
      <c r="L129" s="16"/>
    </row>
    <row r="130" spans="1:12" x14ac:dyDescent="0.3">
      <c r="A130" s="245"/>
      <c r="B130" s="27" t="s">
        <v>594</v>
      </c>
      <c r="C130" s="169">
        <f>C116+C126</f>
        <v>1357879.8466125</v>
      </c>
      <c r="D130" s="169">
        <f>D116+D126</f>
        <v>1476675.4808737501</v>
      </c>
      <c r="E130" s="169">
        <f>E116+E126</f>
        <v>1595471.1151350001</v>
      </c>
      <c r="F130" s="169">
        <f>F116+F126</f>
        <v>1714266.7493962501</v>
      </c>
      <c r="G130" s="16"/>
      <c r="H130" s="16"/>
      <c r="I130" s="16"/>
      <c r="J130" s="16"/>
      <c r="K130" s="16"/>
      <c r="L130" s="16"/>
    </row>
    <row r="131" spans="1:12" x14ac:dyDescent="0.3">
      <c r="A131" s="392" t="s">
        <v>595</v>
      </c>
      <c r="B131" s="337"/>
      <c r="C131" s="312">
        <f>C129-C130</f>
        <v>-1357879.8466125</v>
      </c>
      <c r="D131" s="312">
        <f>D129-D130</f>
        <v>-1476675.4808737501</v>
      </c>
      <c r="E131" s="312">
        <f>E129-E130</f>
        <v>-1595471.1151350001</v>
      </c>
      <c r="F131" s="312">
        <f>F129-F130</f>
        <v>-1714266.7493962501</v>
      </c>
      <c r="G131" s="16"/>
      <c r="H131" s="16"/>
      <c r="I131" s="16"/>
      <c r="J131" s="16"/>
      <c r="K131" s="16"/>
      <c r="L131" s="16"/>
    </row>
    <row r="132" spans="1:12" x14ac:dyDescent="0.3">
      <c r="A132" s="4">
        <v>13</v>
      </c>
      <c r="B132" s="24" t="s">
        <v>596</v>
      </c>
      <c r="C132" s="126">
        <f>C106*0.01</f>
        <v>0</v>
      </c>
      <c r="D132" s="126">
        <f>D106*0.01</f>
        <v>0</v>
      </c>
      <c r="E132" s="126">
        <f>E106*0.01</f>
        <v>0</v>
      </c>
      <c r="F132" s="126">
        <f>F106*0.01</f>
        <v>0</v>
      </c>
      <c r="G132" s="16"/>
      <c r="H132" s="16"/>
      <c r="I132" s="16"/>
      <c r="J132" s="16"/>
      <c r="K132" s="16"/>
      <c r="L132" s="16"/>
    </row>
    <row r="133" spans="1:12" x14ac:dyDescent="0.3">
      <c r="A133" s="392" t="s">
        <v>597</v>
      </c>
      <c r="B133" s="337"/>
      <c r="C133" s="312">
        <f>C131-C132</f>
        <v>-1357879.8466125</v>
      </c>
      <c r="D133" s="312">
        <f>D131-D132</f>
        <v>-1476675.4808737501</v>
      </c>
      <c r="E133" s="312">
        <f>E131-E132</f>
        <v>-1595471.1151350001</v>
      </c>
      <c r="F133" s="312">
        <f>F131-F132</f>
        <v>-1714266.7493962501</v>
      </c>
      <c r="G133" s="16"/>
      <c r="H133" s="16"/>
      <c r="I133" s="16"/>
      <c r="J133" s="16"/>
      <c r="K133" s="16"/>
      <c r="L133" s="16"/>
    </row>
    <row r="134" spans="1:12" ht="24" customHeight="1" x14ac:dyDescent="0.3">
      <c r="B134" s="244"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43" workbookViewId="0">
      <selection activeCell="G55" sqref="G55"/>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7" t="s">
        <v>82</v>
      </c>
      <c r="B1" s="29"/>
      <c r="C1" s="29"/>
      <c r="D1" s="29"/>
    </row>
    <row r="2" spans="1:4" s="43" customFormat="1" x14ac:dyDescent="0.3">
      <c r="A2" s="32"/>
      <c r="B2" s="29"/>
      <c r="C2" s="29"/>
      <c r="D2" s="29"/>
    </row>
    <row r="3" spans="1:4" s="43" customFormat="1" ht="38.25" customHeight="1" x14ac:dyDescent="0.3">
      <c r="A3" s="313" t="s">
        <v>83</v>
      </c>
      <c r="B3" s="315"/>
      <c r="C3" s="315"/>
      <c r="D3" s="315"/>
    </row>
    <row r="4" spans="1:4" s="43" customFormat="1" x14ac:dyDescent="0.3">
      <c r="A4" s="186"/>
      <c r="B4" s="186"/>
      <c r="C4" s="186"/>
      <c r="D4" s="186"/>
    </row>
    <row r="5" spans="1:4" s="68" customFormat="1" x14ac:dyDescent="0.3">
      <c r="A5" s="248"/>
      <c r="B5" s="287">
        <f>'1A-Bilant'!B5</f>
        <v>2018</v>
      </c>
      <c r="C5" s="287">
        <f>'1A-Bilant'!C5</f>
        <v>2019</v>
      </c>
      <c r="D5" s="241" t="str">
        <f>'1A-Bilant'!D5</f>
        <v>AN</v>
      </c>
    </row>
    <row r="6" spans="1:4" x14ac:dyDescent="0.3">
      <c r="A6" s="285" t="s">
        <v>84</v>
      </c>
      <c r="B6" s="277">
        <v>3530610</v>
      </c>
      <c r="C6" s="277">
        <v>3492502</v>
      </c>
      <c r="D6" s="286"/>
    </row>
    <row r="7" spans="1:4" x14ac:dyDescent="0.3">
      <c r="A7" s="71" t="s">
        <v>85</v>
      </c>
      <c r="B7" s="288">
        <v>0</v>
      </c>
      <c r="C7" s="28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289">
        <v>0</v>
      </c>
      <c r="C11" s="289">
        <v>0</v>
      </c>
      <c r="D11" s="44">
        <v>0</v>
      </c>
    </row>
    <row r="12" spans="1:4" x14ac:dyDescent="0.3">
      <c r="A12" s="285" t="s">
        <v>90</v>
      </c>
      <c r="B12" s="277">
        <v>18220</v>
      </c>
      <c r="C12" s="277">
        <v>8600</v>
      </c>
      <c r="D12" s="286">
        <v>0</v>
      </c>
    </row>
    <row r="13" spans="1:4" s="68" customFormat="1" x14ac:dyDescent="0.3">
      <c r="A13" s="248" t="s">
        <v>91</v>
      </c>
      <c r="B13" s="291">
        <f>SUM(B6:B12)</f>
        <v>3548830</v>
      </c>
      <c r="C13" s="291">
        <f>SUM(C6:C12)</f>
        <v>3501102</v>
      </c>
      <c r="D13" s="38">
        <f>SUM(D6:D12)</f>
        <v>0</v>
      </c>
    </row>
    <row r="14" spans="1:4" s="68" customFormat="1" x14ac:dyDescent="0.3">
      <c r="A14" s="285" t="s">
        <v>92</v>
      </c>
      <c r="B14" s="277">
        <v>198961</v>
      </c>
      <c r="C14" s="277">
        <v>162797</v>
      </c>
      <c r="D14" s="286"/>
    </row>
    <row r="15" spans="1:4" s="68" customFormat="1" x14ac:dyDescent="0.3">
      <c r="A15" s="285" t="s">
        <v>93</v>
      </c>
      <c r="B15" s="277">
        <v>33715</v>
      </c>
      <c r="C15" s="277">
        <v>22392</v>
      </c>
      <c r="D15" s="286"/>
    </row>
    <row r="16" spans="1:4" s="68" customFormat="1" x14ac:dyDescent="0.3">
      <c r="A16" s="285" t="s">
        <v>94</v>
      </c>
      <c r="B16" s="277">
        <v>70588</v>
      </c>
      <c r="C16" s="277">
        <v>102830</v>
      </c>
      <c r="D16" s="286">
        <v>0</v>
      </c>
    </row>
    <row r="17" spans="1:4" s="68" customFormat="1" x14ac:dyDescent="0.3">
      <c r="A17" s="285" t="s">
        <v>95</v>
      </c>
      <c r="B17" s="277">
        <v>1308964</v>
      </c>
      <c r="C17" s="277">
        <v>1310317</v>
      </c>
      <c r="D17" s="286">
        <v>0</v>
      </c>
    </row>
    <row r="18" spans="1:4" s="68" customFormat="1" ht="14.4" customHeight="1" x14ac:dyDescent="0.3">
      <c r="A18" s="285" t="s">
        <v>96</v>
      </c>
      <c r="B18" s="292"/>
      <c r="C18" s="277">
        <v>-3537</v>
      </c>
      <c r="D18" s="286">
        <v>0</v>
      </c>
    </row>
    <row r="19" spans="1:4" s="68" customFormat="1" x14ac:dyDescent="0.3">
      <c r="A19" s="293" t="s">
        <v>97</v>
      </c>
      <c r="B19" s="294">
        <v>834328</v>
      </c>
      <c r="C19" s="294">
        <v>1095618</v>
      </c>
      <c r="D19" s="286"/>
    </row>
    <row r="20" spans="1:4" s="68" customFormat="1" x14ac:dyDescent="0.3">
      <c r="A20" s="285" t="s">
        <v>98</v>
      </c>
      <c r="B20" s="277">
        <v>147287</v>
      </c>
      <c r="C20" s="277">
        <v>203787</v>
      </c>
      <c r="D20" s="286"/>
    </row>
    <row r="21" spans="1:4" s="68" customFormat="1" x14ac:dyDescent="0.3">
      <c r="A21" s="105" t="s">
        <v>99</v>
      </c>
      <c r="B21" s="295">
        <v>0</v>
      </c>
      <c r="C21" s="295">
        <v>0</v>
      </c>
      <c r="D21" s="44">
        <v>0</v>
      </c>
    </row>
    <row r="22" spans="1:4" s="68" customFormat="1" x14ac:dyDescent="0.3">
      <c r="A22" s="293" t="s">
        <v>100</v>
      </c>
      <c r="B22" s="277">
        <v>419026</v>
      </c>
      <c r="C22" s="277">
        <v>463143</v>
      </c>
      <c r="D22" s="286"/>
    </row>
    <row r="23" spans="1:4" s="68" customFormat="1" x14ac:dyDescent="0.3">
      <c r="A23" s="105" t="s">
        <v>101</v>
      </c>
      <c r="B23" s="288">
        <v>0</v>
      </c>
      <c r="C23" s="288">
        <v>0</v>
      </c>
      <c r="D23" s="44">
        <v>0</v>
      </c>
    </row>
    <row r="24" spans="1:4" s="68" customFormat="1" x14ac:dyDescent="0.3">
      <c r="A24" s="248" t="s">
        <v>102</v>
      </c>
      <c r="B24" s="38">
        <f>B14+B15+B16+B17-B18+B19+B20+B21+B22+B23</f>
        <v>3012869</v>
      </c>
      <c r="C24" s="38">
        <f>C14+C15+C16+C17-C18+C19+C20+C21+C22+C23</f>
        <v>3364421</v>
      </c>
      <c r="D24" s="38">
        <f>D14+D15+D16+D17-D18+D19+D20+D21+D22+D23</f>
        <v>0</v>
      </c>
    </row>
    <row r="25" spans="1:4" s="68" customFormat="1" x14ac:dyDescent="0.3">
      <c r="A25" s="248"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9">
        <v>0</v>
      </c>
      <c r="C28" s="289">
        <v>0</v>
      </c>
      <c r="D28" s="44">
        <v>0</v>
      </c>
    </row>
    <row r="29" spans="1:4" x14ac:dyDescent="0.3">
      <c r="A29" s="285" t="s">
        <v>107</v>
      </c>
      <c r="B29" s="277">
        <v>3</v>
      </c>
      <c r="C29" s="277">
        <v>30</v>
      </c>
      <c r="D29" s="286"/>
    </row>
    <row r="30" spans="1:4" x14ac:dyDescent="0.3">
      <c r="A30" s="71" t="s">
        <v>108</v>
      </c>
      <c r="B30" s="295">
        <v>0</v>
      </c>
      <c r="C30" s="295">
        <v>0</v>
      </c>
      <c r="D30" s="44">
        <v>0</v>
      </c>
    </row>
    <row r="31" spans="1:4" x14ac:dyDescent="0.3">
      <c r="A31" s="285" t="s">
        <v>109</v>
      </c>
      <c r="B31" s="277">
        <v>19449</v>
      </c>
      <c r="C31" s="277">
        <v>9933</v>
      </c>
      <c r="D31" s="286"/>
    </row>
    <row r="32" spans="1:4" x14ac:dyDescent="0.3">
      <c r="A32" s="248" t="s">
        <v>110</v>
      </c>
      <c r="B32" s="296">
        <f>B31+B30+B29+B28</f>
        <v>19452</v>
      </c>
      <c r="C32" s="296">
        <f>C31+C30+C29+C28</f>
        <v>9963</v>
      </c>
      <c r="D32" s="177">
        <f>D31+D30+D29+D28</f>
        <v>0</v>
      </c>
    </row>
    <row r="33" spans="1:4" ht="27.6" customHeight="1" x14ac:dyDescent="0.3">
      <c r="A33" s="105" t="s">
        <v>111</v>
      </c>
      <c r="B33" s="289">
        <v>0</v>
      </c>
      <c r="C33" s="289">
        <v>0</v>
      </c>
      <c r="D33" s="44">
        <v>0</v>
      </c>
    </row>
    <row r="34" spans="1:4" x14ac:dyDescent="0.3">
      <c r="A34" s="293" t="s">
        <v>112</v>
      </c>
      <c r="B34" s="294">
        <v>29166</v>
      </c>
      <c r="C34" s="294">
        <v>39758</v>
      </c>
      <c r="D34" s="286"/>
    </row>
    <row r="35" spans="1:4" x14ac:dyDescent="0.3">
      <c r="A35" s="293" t="s">
        <v>113</v>
      </c>
      <c r="B35" s="277">
        <v>-767</v>
      </c>
      <c r="C35" s="277">
        <v>3822</v>
      </c>
      <c r="D35" s="286"/>
    </row>
    <row r="36" spans="1:4" s="68" customFormat="1" x14ac:dyDescent="0.3">
      <c r="A36" s="248" t="s">
        <v>114</v>
      </c>
      <c r="B36" s="290">
        <f>SUM(B33:B35)</f>
        <v>28399</v>
      </c>
      <c r="C36" s="290">
        <f>SUM(C33:C35)</f>
        <v>43580</v>
      </c>
      <c r="D36" s="38">
        <f>SUM(D33:D35)</f>
        <v>0</v>
      </c>
    </row>
    <row r="37" spans="1:4" s="68" customFormat="1" x14ac:dyDescent="0.3">
      <c r="A37" s="248"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8"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3568282</v>
      </c>
      <c r="C48" s="38">
        <f>C13+C32+C43</f>
        <v>3511065</v>
      </c>
      <c r="D48" s="38">
        <f>D13+D32+D43</f>
        <v>0</v>
      </c>
    </row>
    <row r="49" spans="1:4" s="149" customFormat="1" x14ac:dyDescent="0.3">
      <c r="A49" s="248" t="s">
        <v>127</v>
      </c>
      <c r="B49" s="38">
        <f>B24+B36+B44</f>
        <v>3041268</v>
      </c>
      <c r="C49" s="38">
        <f>C24+C36+C44</f>
        <v>3408001</v>
      </c>
      <c r="D49" s="38">
        <f>D24+D36+D44</f>
        <v>0</v>
      </c>
    </row>
    <row r="50" spans="1:4" s="149" customFormat="1" x14ac:dyDescent="0.3">
      <c r="A50" s="248"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9">
        <v>0</v>
      </c>
      <c r="C53" s="289">
        <v>0</v>
      </c>
      <c r="D53" s="44">
        <v>0</v>
      </c>
    </row>
    <row r="54" spans="1:4" s="93" customFormat="1" x14ac:dyDescent="0.3">
      <c r="A54" s="285" t="s">
        <v>132</v>
      </c>
      <c r="B54" s="277">
        <v>35683</v>
      </c>
      <c r="C54" s="277">
        <v>34954</v>
      </c>
      <c r="D54" s="286"/>
    </row>
    <row r="55" spans="1:4" s="149" customFormat="1" x14ac:dyDescent="0.3">
      <c r="A55" s="248" t="s">
        <v>133</v>
      </c>
      <c r="B55" s="290">
        <f>B50-B53-B54</f>
        <v>491331</v>
      </c>
      <c r="C55" s="290">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6" t="s">
        <v>136</v>
      </c>
      <c r="B1" s="317"/>
      <c r="C1" s="317"/>
      <c r="D1" s="317"/>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636456</v>
      </c>
      <c r="C4" s="47">
        <f>'1A-Bilant'!C18</f>
        <v>778244</v>
      </c>
      <c r="D4" s="47">
        <f>'1A-Bilant'!D18</f>
        <v>0</v>
      </c>
      <c r="E4" s="102"/>
      <c r="F4" s="242" t="s">
        <v>140</v>
      </c>
      <c r="G4" s="49">
        <f t="shared" ref="G4:G22" si="0">IFERROR(B4/B$21,"")</f>
        <v>0.3575159657502428</v>
      </c>
      <c r="H4" s="49">
        <f t="shared" ref="H4:H22" si="1">IFERROR(C4/C$21,"")</f>
        <v>0.74188354554909341</v>
      </c>
      <c r="I4" s="49" t="str">
        <f t="shared" ref="I4:I22" si="2">IFERROR(D4/D$21,"")</f>
        <v/>
      </c>
      <c r="J4" s="102"/>
      <c r="K4" s="242" t="s">
        <v>140</v>
      </c>
      <c r="L4" s="49">
        <f t="shared" ref="L4:L22" si="3">IFERROR((C4-B4)/B4,"")</f>
        <v>0.22277737974031198</v>
      </c>
      <c r="M4" s="49">
        <f t="shared" ref="M4:M22" si="4">IFERROR((D4-C4)/C4,"")</f>
        <v>-1</v>
      </c>
      <c r="N4" s="50"/>
      <c r="O4" s="50"/>
      <c r="P4" s="51"/>
      <c r="Q4" s="51"/>
    </row>
    <row r="5" spans="1:17" s="52" customFormat="1" ht="15.6" customHeight="1" x14ac:dyDescent="0.3">
      <c r="A5" s="242" t="s">
        <v>141</v>
      </c>
      <c r="B5" s="47">
        <f>SUM(B6:B9)</f>
        <v>1143761</v>
      </c>
      <c r="C5" s="47">
        <f>SUM(C6:C9)</f>
        <v>270767</v>
      </c>
      <c r="D5" s="47">
        <f>SUM(D6:D9)</f>
        <v>0</v>
      </c>
      <c r="E5" s="102"/>
      <c r="F5" s="242" t="s">
        <v>141</v>
      </c>
      <c r="G5" s="49">
        <f t="shared" si="0"/>
        <v>0.6424840342497572</v>
      </c>
      <c r="H5" s="49">
        <f t="shared" si="1"/>
        <v>0.25811645445090664</v>
      </c>
      <c r="I5" s="49" t="str">
        <f t="shared" si="2"/>
        <v/>
      </c>
      <c r="J5" s="102"/>
      <c r="K5" s="242"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4"/>
      <c r="K6" s="53" t="s">
        <v>142</v>
      </c>
      <c r="L6" s="48">
        <f t="shared" si="3"/>
        <v>0.32284253175313737</v>
      </c>
      <c r="M6" s="48">
        <f t="shared" si="4"/>
        <v>-1</v>
      </c>
      <c r="N6" s="245"/>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4"/>
      <c r="K7" s="53" t="s">
        <v>143</v>
      </c>
      <c r="L7" s="48">
        <f t="shared" si="3"/>
        <v>9.3366485201267113E-2</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4"/>
      <c r="K9" s="53" t="s">
        <v>145</v>
      </c>
      <c r="L9" s="48">
        <f t="shared" si="3"/>
        <v>-0.96514350826833606</v>
      </c>
      <c r="M9" s="48">
        <f t="shared" si="4"/>
        <v>-1</v>
      </c>
      <c r="N9" s="245"/>
      <c r="O9" s="50"/>
      <c r="P9" s="51"/>
      <c r="Q9" s="51"/>
    </row>
    <row r="10" spans="1:17" s="52" customFormat="1" ht="15.6" customHeight="1" x14ac:dyDescent="0.3">
      <c r="A10" s="242" t="s">
        <v>146</v>
      </c>
      <c r="B10" s="47">
        <f>B4+B5</f>
        <v>1780217</v>
      </c>
      <c r="C10" s="47">
        <f>C4+C5</f>
        <v>1049011</v>
      </c>
      <c r="D10" s="47">
        <f>D4+D5</f>
        <v>0</v>
      </c>
      <c r="E10" s="102"/>
      <c r="F10" s="242" t="s">
        <v>146</v>
      </c>
      <c r="G10" s="49">
        <f t="shared" si="0"/>
        <v>1</v>
      </c>
      <c r="H10" s="49">
        <f t="shared" si="1"/>
        <v>1</v>
      </c>
      <c r="I10" s="49" t="str">
        <f t="shared" si="2"/>
        <v/>
      </c>
      <c r="J10" s="102"/>
      <c r="K10" s="242" t="s">
        <v>146</v>
      </c>
      <c r="L10" s="49">
        <f t="shared" si="3"/>
        <v>-0.41073981430353718</v>
      </c>
      <c r="M10" s="49">
        <f t="shared" si="4"/>
        <v>-1</v>
      </c>
      <c r="N10" s="50"/>
      <c r="O10" s="50"/>
      <c r="P10" s="51"/>
      <c r="Q10" s="51"/>
    </row>
    <row r="11" spans="1:17" s="52" customFormat="1" ht="15.6" customHeight="1" x14ac:dyDescent="0.3">
      <c r="A11" s="242" t="s">
        <v>147</v>
      </c>
      <c r="B11" s="47">
        <f>SUM(B12:B15)</f>
        <v>929709</v>
      </c>
      <c r="C11" s="47">
        <f>SUM(C12:C15)</f>
        <v>745233</v>
      </c>
      <c r="D11" s="47">
        <f>SUM(D12:D15)</f>
        <v>0</v>
      </c>
      <c r="E11" s="102"/>
      <c r="F11" s="242" t="s">
        <v>147</v>
      </c>
      <c r="G11" s="49">
        <f t="shared" si="0"/>
        <v>0.5222447600489154</v>
      </c>
      <c r="H11" s="49">
        <f t="shared" si="1"/>
        <v>0.71041485742284871</v>
      </c>
      <c r="I11" s="49" t="str">
        <f t="shared" si="2"/>
        <v/>
      </c>
      <c r="J11" s="102"/>
      <c r="K11" s="242" t="s">
        <v>147</v>
      </c>
      <c r="L11" s="49">
        <f t="shared" si="3"/>
        <v>-0.19842337763751883</v>
      </c>
      <c r="M11" s="49">
        <f t="shared" si="4"/>
        <v>-1</v>
      </c>
      <c r="N11" s="50"/>
      <c r="O11" s="50"/>
      <c r="P11" s="51"/>
      <c r="Q11" s="51"/>
    </row>
    <row r="12" spans="1:17" s="247" customFormat="1" ht="15.6" customHeight="1" x14ac:dyDescent="0.3">
      <c r="A12" s="53" t="s">
        <v>148</v>
      </c>
      <c r="B12" s="54">
        <f>'1A-Bilant'!B34+'1A-Bilant'!B35</f>
        <v>738576</v>
      </c>
      <c r="C12" s="54">
        <f>'1A-Bilant'!C34+'1A-Bilant'!C35</f>
        <v>548359</v>
      </c>
      <c r="D12" s="54">
        <f>'1A-Bilant'!D34+'1A-Bilant'!D35</f>
        <v>0</v>
      </c>
      <c r="E12" s="244"/>
      <c r="F12" s="53" t="s">
        <v>148</v>
      </c>
      <c r="G12" s="48">
        <f t="shared" si="0"/>
        <v>0.41487975904061136</v>
      </c>
      <c r="H12" s="48">
        <f t="shared" si="1"/>
        <v>0.52273903705490221</v>
      </c>
      <c r="I12" s="48" t="str">
        <f t="shared" si="2"/>
        <v/>
      </c>
      <c r="J12" s="244"/>
      <c r="K12" s="53" t="s">
        <v>148</v>
      </c>
      <c r="L12" s="48">
        <f t="shared" si="3"/>
        <v>-0.25754560126513726</v>
      </c>
      <c r="M12" s="48">
        <f t="shared" si="4"/>
        <v>-1</v>
      </c>
      <c r="N12" s="245"/>
      <c r="O12" s="245"/>
      <c r="P12" s="246"/>
      <c r="Q12" s="246"/>
    </row>
    <row r="13" spans="1:17" s="247" customFormat="1" ht="15.6" customHeight="1" x14ac:dyDescent="0.3">
      <c r="A13" s="53" t="s">
        <v>149</v>
      </c>
      <c r="B13" s="54">
        <f>'1A-Bilant'!B37+'1A-Bilant'!B38</f>
        <v>75256</v>
      </c>
      <c r="C13" s="54">
        <f>'1A-Bilant'!C37+'1A-Bilant'!C38</f>
        <v>127965</v>
      </c>
      <c r="D13" s="54">
        <f>'1A-Bilant'!D37+'1A-Bilant'!D38</f>
        <v>0</v>
      </c>
      <c r="E13" s="244"/>
      <c r="F13" s="53" t="s">
        <v>149</v>
      </c>
      <c r="G13" s="48">
        <f t="shared" si="0"/>
        <v>4.2273498118487803E-2</v>
      </c>
      <c r="H13" s="48">
        <f t="shared" si="1"/>
        <v>0.12198632807472944</v>
      </c>
      <c r="I13" s="48" t="str">
        <f t="shared" si="2"/>
        <v/>
      </c>
      <c r="J13" s="244"/>
      <c r="K13" s="53" t="s">
        <v>149</v>
      </c>
      <c r="L13" s="48">
        <f t="shared" si="3"/>
        <v>0.70039598171574358</v>
      </c>
      <c r="M13" s="48">
        <f t="shared" si="4"/>
        <v>-1</v>
      </c>
      <c r="N13" s="245"/>
      <c r="O13" s="245"/>
      <c r="P13" s="246"/>
      <c r="Q13" s="246"/>
    </row>
    <row r="14" spans="1:17" s="247"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4"/>
      <c r="F14" s="53" t="s">
        <v>150</v>
      </c>
      <c r="G14" s="48">
        <f t="shared" si="0"/>
        <v>7.4547091730951906E-2</v>
      </c>
      <c r="H14" s="48">
        <f t="shared" si="1"/>
        <v>8.879029867179658E-2</v>
      </c>
      <c r="I14" s="48" t="str">
        <f t="shared" si="2"/>
        <v/>
      </c>
      <c r="J14" s="244"/>
      <c r="K14" s="53" t="s">
        <v>150</v>
      </c>
      <c r="L14" s="48">
        <f t="shared" si="3"/>
        <v>-0.29815386933916055</v>
      </c>
      <c r="M14" s="48">
        <f t="shared" si="4"/>
        <v>-1</v>
      </c>
      <c r="N14" s="245"/>
      <c r="O14" s="245"/>
      <c r="P14" s="246"/>
      <c r="Q14" s="246"/>
    </row>
    <row r="15" spans="1:17" s="247" customFormat="1" ht="15.6" customHeight="1" x14ac:dyDescent="0.3">
      <c r="A15" s="53" t="s">
        <v>151</v>
      </c>
      <c r="B15" s="54">
        <f>'1A-Bilant'!B56</f>
        <v>-16833</v>
      </c>
      <c r="C15" s="54">
        <f>'1A-Bilant'!C56</f>
        <v>-24233</v>
      </c>
      <c r="D15" s="54">
        <f>'1A-Bilant'!D56</f>
        <v>0</v>
      </c>
      <c r="E15" s="244"/>
      <c r="F15" s="53" t="s">
        <v>151</v>
      </c>
      <c r="G15" s="48">
        <f t="shared" si="0"/>
        <v>-9.4555888411356585E-3</v>
      </c>
      <c r="H15" s="48">
        <f t="shared" si="1"/>
        <v>-2.3100806378579444E-2</v>
      </c>
      <c r="I15" s="48" t="str">
        <f t="shared" si="2"/>
        <v/>
      </c>
      <c r="J15" s="244"/>
      <c r="K15" s="53" t="s">
        <v>151</v>
      </c>
      <c r="L15" s="48">
        <f t="shared" si="3"/>
        <v>0.43961266559733858</v>
      </c>
      <c r="M15" s="48">
        <f t="shared" si="4"/>
        <v>-1</v>
      </c>
      <c r="N15" s="245"/>
      <c r="O15" s="245"/>
      <c r="P15" s="246"/>
      <c r="Q15" s="246"/>
    </row>
    <row r="16" spans="1:17" s="52" customFormat="1" ht="15.6" customHeight="1" x14ac:dyDescent="0.3">
      <c r="A16" s="242" t="s">
        <v>152</v>
      </c>
      <c r="B16" s="47">
        <f>SUM(B17:B19)</f>
        <v>3177</v>
      </c>
      <c r="C16" s="47">
        <f>SUM(C17:C19)</f>
        <v>235428</v>
      </c>
      <c r="D16" s="47">
        <f>SUM(D17:D19)</f>
        <v>0</v>
      </c>
      <c r="E16" s="102"/>
      <c r="F16" s="242" t="s">
        <v>152</v>
      </c>
      <c r="G16" s="49">
        <f t="shared" si="0"/>
        <v>1.7846138981933101E-3</v>
      </c>
      <c r="H16" s="49">
        <f t="shared" si="1"/>
        <v>0.22442853316123473</v>
      </c>
      <c r="I16" s="49" t="str">
        <f t="shared" si="2"/>
        <v/>
      </c>
      <c r="J16" s="102"/>
      <c r="K16" s="242"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3177</v>
      </c>
      <c r="C18" s="54">
        <f>SUM('1A-Bilant'!C48:C53)</f>
        <v>235428</v>
      </c>
      <c r="D18" s="54">
        <f>SUM('1A-Bilant'!D48:D53)</f>
        <v>0</v>
      </c>
      <c r="E18" s="244"/>
      <c r="F18" s="53" t="s">
        <v>154</v>
      </c>
      <c r="G18" s="48">
        <f t="shared" si="0"/>
        <v>1.7846138981933101E-3</v>
      </c>
      <c r="H18" s="48">
        <f t="shared" si="1"/>
        <v>0.22442853316123473</v>
      </c>
      <c r="I18" s="48" t="str">
        <f t="shared" si="2"/>
        <v/>
      </c>
      <c r="J18" s="244"/>
      <c r="K18" s="53" t="s">
        <v>154</v>
      </c>
      <c r="L18" s="48">
        <f t="shared" si="3"/>
        <v>73.103871576959392</v>
      </c>
      <c r="M18" s="48">
        <f t="shared" si="4"/>
        <v>-1</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847331</v>
      </c>
      <c r="C20" s="47">
        <f>'1A-Bilant'!C89</f>
        <v>68350</v>
      </c>
      <c r="D20" s="47">
        <f>'1A-Bilant'!D89</f>
        <v>0</v>
      </c>
      <c r="E20" s="102"/>
      <c r="F20" s="242" t="s">
        <v>156</v>
      </c>
      <c r="G20" s="48">
        <f t="shared" si="0"/>
        <v>0.47597062605289131</v>
      </c>
      <c r="H20" s="49">
        <f t="shared" si="1"/>
        <v>6.5156609415916514E-2</v>
      </c>
      <c r="I20" s="49" t="str">
        <f t="shared" si="2"/>
        <v/>
      </c>
      <c r="J20" s="102"/>
      <c r="K20" s="242" t="s">
        <v>156</v>
      </c>
      <c r="L20" s="49">
        <f t="shared" si="3"/>
        <v>-0.91933494702778484</v>
      </c>
      <c r="M20" s="49">
        <f t="shared" si="4"/>
        <v>-1</v>
      </c>
      <c r="N20" s="50"/>
      <c r="O20" s="50"/>
      <c r="P20" s="51"/>
      <c r="Q20" s="51"/>
    </row>
    <row r="21" spans="1:17" s="52" customFormat="1" ht="15.6" customHeight="1" x14ac:dyDescent="0.3">
      <c r="A21" s="242" t="str">
        <f>'1A-Bilant'!A93</f>
        <v>TOTAL ACTIV</v>
      </c>
      <c r="B21" s="47">
        <f>B4+B5</f>
        <v>1780217</v>
      </c>
      <c r="C21" s="47">
        <f>C4+C5</f>
        <v>1049011</v>
      </c>
      <c r="D21" s="47">
        <f>D4+D5</f>
        <v>0</v>
      </c>
      <c r="E21" s="102"/>
      <c r="F21" s="242" t="s">
        <v>80</v>
      </c>
      <c r="G21" s="48">
        <f t="shared" si="0"/>
        <v>1</v>
      </c>
      <c r="H21" s="49">
        <f t="shared" si="1"/>
        <v>1</v>
      </c>
      <c r="I21" s="49" t="str">
        <f t="shared" si="2"/>
        <v/>
      </c>
      <c r="J21" s="102"/>
      <c r="K21" s="242" t="s">
        <v>80</v>
      </c>
      <c r="L21" s="49">
        <f t="shared" si="3"/>
        <v>-0.41073981430353718</v>
      </c>
      <c r="M21" s="49">
        <f t="shared" si="4"/>
        <v>-1</v>
      </c>
      <c r="N21" s="50"/>
      <c r="O21" s="50"/>
      <c r="P21" s="51"/>
      <c r="Q21" s="51"/>
    </row>
    <row r="22" spans="1:17" s="52" customFormat="1" ht="15.6" customHeight="1" x14ac:dyDescent="0.3">
      <c r="A22" s="242" t="str">
        <f>'1A-Bilant'!A94</f>
        <v>TOTAL CAPITALURI SI DATORII</v>
      </c>
      <c r="B22" s="47">
        <f>B11+B16+B20</f>
        <v>1780217</v>
      </c>
      <c r="C22" s="47">
        <f>C11+C16+C20</f>
        <v>1049011</v>
      </c>
      <c r="D22" s="47">
        <f>D11+D16+D20</f>
        <v>0</v>
      </c>
      <c r="E22" s="102"/>
      <c r="F22" s="242" t="s">
        <v>81</v>
      </c>
      <c r="G22" s="48">
        <f t="shared" si="0"/>
        <v>1</v>
      </c>
      <c r="H22" s="49">
        <f t="shared" si="1"/>
        <v>1</v>
      </c>
      <c r="I22" s="49" t="str">
        <f t="shared" si="2"/>
        <v/>
      </c>
      <c r="J22" s="102"/>
      <c r="K22" s="242"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3530610</v>
      </c>
      <c r="C25" s="47">
        <f>'1B-ContPP'!C6</f>
        <v>3492502</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-1.0793602238706625E-2</v>
      </c>
      <c r="M25" s="49">
        <f t="shared" si="8"/>
        <v>-1</v>
      </c>
      <c r="N25" s="50"/>
      <c r="O25" s="50"/>
      <c r="P25" s="51"/>
      <c r="Q25" s="51"/>
    </row>
    <row r="26" spans="1:17" s="247" customFormat="1" ht="15.6" customHeight="1" x14ac:dyDescent="0.3">
      <c r="A26" s="53" t="str">
        <f>'1B-ContPP'!A12</f>
        <v>Alte venituri din exploatare</v>
      </c>
      <c r="B26" s="54">
        <f>'1B-ContPP'!B12</f>
        <v>18220</v>
      </c>
      <c r="C26" s="54">
        <f>'1B-ContPP'!C12</f>
        <v>8600</v>
      </c>
      <c r="D26" s="54">
        <f>'1B-ContPP'!D12</f>
        <v>0</v>
      </c>
      <c r="E26" s="244"/>
      <c r="F26" s="53" t="s">
        <v>90</v>
      </c>
      <c r="G26" s="48">
        <f t="shared" si="5"/>
        <v>5.1605813159765592E-3</v>
      </c>
      <c r="H26" s="48">
        <f t="shared" si="6"/>
        <v>2.4624180601757707E-3</v>
      </c>
      <c r="I26" s="48" t="str">
        <f t="shared" si="7"/>
        <v/>
      </c>
      <c r="J26" s="244"/>
      <c r="K26" s="53" t="s">
        <v>90</v>
      </c>
      <c r="L26" s="48">
        <f t="shared" si="8"/>
        <v>-0.52799121844127328</v>
      </c>
      <c r="M26" s="48">
        <f t="shared" si="8"/>
        <v>-1</v>
      </c>
      <c r="N26" s="245"/>
      <c r="O26" s="245"/>
      <c r="P26" s="246"/>
      <c r="Q26" s="246"/>
    </row>
    <row r="27" spans="1:17" s="52" customFormat="1" ht="15.6" customHeight="1" x14ac:dyDescent="0.3">
      <c r="A27" s="242" t="str">
        <f>'1B-ContPP'!A13</f>
        <v>Venituri din exploatare - total</v>
      </c>
      <c r="B27" s="47">
        <f>'1B-ContPP'!B13</f>
        <v>3548830</v>
      </c>
      <c r="C27" s="47">
        <f>'1B-ContPP'!C13</f>
        <v>3501102</v>
      </c>
      <c r="D27" s="47">
        <f>'1B-ContPP'!D13</f>
        <v>0</v>
      </c>
      <c r="E27" s="102"/>
      <c r="F27" s="242" t="s">
        <v>91</v>
      </c>
      <c r="G27" s="49">
        <f t="shared" si="5"/>
        <v>1.0051605813159765</v>
      </c>
      <c r="H27" s="49">
        <f t="shared" si="6"/>
        <v>1.0024624180601758</v>
      </c>
      <c r="I27" s="49" t="str">
        <f t="shared" si="7"/>
        <v/>
      </c>
      <c r="J27" s="102"/>
      <c r="K27" s="242" t="s">
        <v>91</v>
      </c>
      <c r="L27" s="49">
        <f t="shared" si="8"/>
        <v>-1.3448939509641206E-2</v>
      </c>
      <c r="M27" s="49">
        <f t="shared" si="8"/>
        <v>-1</v>
      </c>
      <c r="N27" s="50"/>
      <c r="O27" s="50"/>
      <c r="P27" s="51"/>
      <c r="Q27" s="51"/>
    </row>
    <row r="28" spans="1:17" s="247" customFormat="1" ht="15.6" customHeight="1" x14ac:dyDescent="0.3">
      <c r="A28" s="57" t="s">
        <v>159</v>
      </c>
      <c r="B28" s="54">
        <f>SUM('1B-ContPP'!B14:B19)+'1B-ContPP'!B22</f>
        <v>2865582</v>
      </c>
      <c r="C28" s="54">
        <f>SUM('1B-ContPP'!C14:C19)+'1B-ContPP'!C22</f>
        <v>3153560</v>
      </c>
      <c r="D28" s="54">
        <f>SUM('1B-ContPP'!D14:D19)+'1B-ContPP'!D22</f>
        <v>0</v>
      </c>
      <c r="E28" s="244"/>
      <c r="F28" s="53" t="s">
        <v>159</v>
      </c>
      <c r="G28" s="48">
        <f t="shared" si="5"/>
        <v>0.81163934844120422</v>
      </c>
      <c r="H28" s="48">
        <f t="shared" si="6"/>
        <v>0.90295152300557024</v>
      </c>
      <c r="I28" s="48" t="str">
        <f t="shared" si="7"/>
        <v/>
      </c>
      <c r="J28" s="244"/>
      <c r="K28" s="53" t="s">
        <v>159</v>
      </c>
      <c r="L28" s="48">
        <f t="shared" si="8"/>
        <v>0.10049546654047939</v>
      </c>
      <c r="M28" s="48">
        <f t="shared" si="8"/>
        <v>-1</v>
      </c>
      <c r="N28" s="245"/>
      <c r="O28" s="245"/>
      <c r="P28" s="246"/>
      <c r="Q28" s="246"/>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4"/>
      <c r="K29" s="53" t="s">
        <v>160</v>
      </c>
      <c r="L29" s="48">
        <f t="shared" si="8"/>
        <v>0.38360479879419096</v>
      </c>
      <c r="M29" s="48">
        <f t="shared" si="8"/>
        <v>-1</v>
      </c>
      <c r="N29" s="59"/>
      <c r="O29" s="59"/>
      <c r="P29" s="60"/>
      <c r="Q29" s="60"/>
    </row>
    <row r="30" spans="1:17" s="52" customFormat="1" ht="15.6" customHeight="1" x14ac:dyDescent="0.3">
      <c r="A30" s="242" t="str">
        <f>'1B-ContPP'!A24</f>
        <v>Cheltuieli din exploatare - total</v>
      </c>
      <c r="B30" s="47">
        <f>'1B-ContPP'!B24</f>
        <v>3012869</v>
      </c>
      <c r="C30" s="47">
        <f>'1B-ContPP'!C24</f>
        <v>3364421</v>
      </c>
      <c r="D30" s="47">
        <f>'1B-ContPP'!D24</f>
        <v>0</v>
      </c>
      <c r="E30" s="102"/>
      <c r="F30" s="242" t="s">
        <v>102</v>
      </c>
      <c r="G30" s="49">
        <f t="shared" si="5"/>
        <v>0.85335650213419212</v>
      </c>
      <c r="H30" s="49">
        <f t="shared" si="6"/>
        <v>0.96332686423658453</v>
      </c>
      <c r="I30" s="49" t="str">
        <f t="shared" si="7"/>
        <v/>
      </c>
      <c r="J30" s="102"/>
      <c r="K30" s="242" t="s">
        <v>102</v>
      </c>
      <c r="L30" s="49">
        <f t="shared" si="8"/>
        <v>0.11668346682182332</v>
      </c>
      <c r="M30" s="49">
        <f t="shared" si="8"/>
        <v>-1</v>
      </c>
      <c r="N30" s="50"/>
      <c r="O30" s="50"/>
      <c r="P30" s="51"/>
      <c r="Q30" s="51"/>
    </row>
    <row r="31" spans="1:17" s="247" customFormat="1" ht="15.6" customHeight="1" x14ac:dyDescent="0.3">
      <c r="A31" s="242" t="str">
        <f>'1B-ContPP'!A25</f>
        <v>Rezultatul din exploatare</v>
      </c>
      <c r="B31" s="47">
        <f>'1B-ContPP'!B25</f>
        <v>535961</v>
      </c>
      <c r="C31" s="47">
        <f>'1B-ContPP'!C25</f>
        <v>136681</v>
      </c>
      <c r="D31" s="47">
        <f>'1B-ContPP'!D25</f>
        <v>0</v>
      </c>
      <c r="E31" s="244"/>
      <c r="F31" s="242" t="s">
        <v>103</v>
      </c>
      <c r="G31" s="49">
        <f t="shared" si="5"/>
        <v>0.15180407918178446</v>
      </c>
      <c r="H31" s="49">
        <f t="shared" si="6"/>
        <v>3.9135553823591226E-2</v>
      </c>
      <c r="I31" s="49" t="str">
        <f t="shared" si="7"/>
        <v/>
      </c>
      <c r="J31" s="102"/>
      <c r="K31" s="242" t="s">
        <v>103</v>
      </c>
      <c r="L31" s="49">
        <f>IF(C31&gt;0,ABS((C31-B31)/B31),0)</f>
        <v>0.74497957873800524</v>
      </c>
      <c r="M31" s="49">
        <f>IF(D31&gt;0,ABS((D31-C31)/C31),0)</f>
        <v>0</v>
      </c>
      <c r="N31" s="245"/>
      <c r="O31" s="245"/>
      <c r="P31" s="246"/>
      <c r="Q31" s="246"/>
    </row>
    <row r="32" spans="1:17" s="247" customFormat="1" ht="15.6" customHeight="1" x14ac:dyDescent="0.3">
      <c r="A32" s="242" t="str">
        <f>'1B-ContPP'!A32</f>
        <v>Venituri financiare</v>
      </c>
      <c r="B32" s="47">
        <f>'1B-ContPP'!B32</f>
        <v>19452</v>
      </c>
      <c r="C32" s="47">
        <f>'1B-ContPP'!C32</f>
        <v>9963</v>
      </c>
      <c r="D32" s="47">
        <f>'1B-ContPP'!D32</f>
        <v>0</v>
      </c>
      <c r="E32" s="244"/>
      <c r="F32" s="242" t="s">
        <v>110</v>
      </c>
      <c r="G32" s="49">
        <f t="shared" si="5"/>
        <v>5.5095295147297493E-3</v>
      </c>
      <c r="H32" s="49">
        <f t="shared" si="6"/>
        <v>2.8526826899454888E-3</v>
      </c>
      <c r="I32" s="49" t="str">
        <f t="shared" si="7"/>
        <v/>
      </c>
      <c r="J32" s="102"/>
      <c r="K32" s="242" t="s">
        <v>110</v>
      </c>
      <c r="L32" s="49">
        <f t="shared" ref="L32:L50" si="9">IFERROR((C32-B32)/B32,"")</f>
        <v>-0.48781616286243062</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29166</v>
      </c>
      <c r="C34" s="54">
        <f>'1B-ContPP'!C34</f>
        <v>39758</v>
      </c>
      <c r="D34" s="54">
        <f>'1B-ContPP'!D34</f>
        <v>0</v>
      </c>
      <c r="E34" s="244"/>
      <c r="F34" s="53" t="s">
        <v>112</v>
      </c>
      <c r="G34" s="48">
        <f t="shared" si="5"/>
        <v>8.2608954260028726E-3</v>
      </c>
      <c r="H34" s="48">
        <f t="shared" si="6"/>
        <v>1.1383815957728872E-2</v>
      </c>
      <c r="I34" s="48" t="str">
        <f t="shared" si="7"/>
        <v/>
      </c>
      <c r="J34" s="244"/>
      <c r="K34" s="53" t="s">
        <v>112</v>
      </c>
      <c r="L34" s="48">
        <f t="shared" si="9"/>
        <v>0.36316258657340739</v>
      </c>
      <c r="M34" s="48">
        <f t="shared" si="10"/>
        <v>-1</v>
      </c>
      <c r="N34" s="245"/>
      <c r="O34" s="245"/>
      <c r="P34" s="246"/>
      <c r="Q34" s="246"/>
    </row>
    <row r="35" spans="1:17" s="247" customFormat="1" ht="15.6" customHeight="1" x14ac:dyDescent="0.3">
      <c r="A35" s="53" t="str">
        <f>'1B-ContPP'!A35</f>
        <v xml:space="preserve">Alte cheltuieli financiare  </v>
      </c>
      <c r="B35" s="54">
        <f>'1B-ContPP'!B35</f>
        <v>-767</v>
      </c>
      <c r="C35" s="54">
        <f>'1B-ContPP'!C35</f>
        <v>3822</v>
      </c>
      <c r="D35" s="54">
        <f>'1B-ContPP'!D35</f>
        <v>0</v>
      </c>
      <c r="E35" s="244"/>
      <c r="F35" s="53" t="s">
        <v>113</v>
      </c>
      <c r="G35" s="48">
        <f t="shared" si="5"/>
        <v>-2.1724291269780577E-4</v>
      </c>
      <c r="H35" s="48">
        <f t="shared" si="6"/>
        <v>1.0943443983711392E-3</v>
      </c>
      <c r="I35" s="48" t="str">
        <f t="shared" si="7"/>
        <v/>
      </c>
      <c r="J35" s="244"/>
      <c r="K35" s="53" t="s">
        <v>113</v>
      </c>
      <c r="L35" s="48">
        <f t="shared" si="9"/>
        <v>-5.9830508474576272</v>
      </c>
      <c r="M35" s="48">
        <f t="shared" si="10"/>
        <v>-1</v>
      </c>
      <c r="N35" s="245"/>
      <c r="O35" s="245"/>
      <c r="P35" s="246"/>
      <c r="Q35" s="246"/>
    </row>
    <row r="36" spans="1:17" s="52" customFormat="1" ht="15.6" customHeight="1" x14ac:dyDescent="0.3">
      <c r="A36" s="242" t="str">
        <f>'1B-ContPP'!A36</f>
        <v>Cheltuieli financiare</v>
      </c>
      <c r="B36" s="47">
        <f>'1B-ContPP'!B36</f>
        <v>28399</v>
      </c>
      <c r="C36" s="47">
        <f>'1B-ContPP'!C36</f>
        <v>43580</v>
      </c>
      <c r="D36" s="47">
        <f>'1B-ContPP'!D36</f>
        <v>0</v>
      </c>
      <c r="E36" s="102"/>
      <c r="F36" s="242" t="s">
        <v>114</v>
      </c>
      <c r="G36" s="49">
        <f t="shared" si="5"/>
        <v>8.0436525133050669E-3</v>
      </c>
      <c r="H36" s="49">
        <f t="shared" si="6"/>
        <v>1.2478160356100011E-2</v>
      </c>
      <c r="I36" s="49" t="str">
        <f t="shared" si="7"/>
        <v/>
      </c>
      <c r="J36" s="102"/>
      <c r="K36" s="242" t="s">
        <v>114</v>
      </c>
      <c r="L36" s="49">
        <f t="shared" si="9"/>
        <v>0.53456107609422865</v>
      </c>
      <c r="M36" s="49">
        <f t="shared" si="10"/>
        <v>-1</v>
      </c>
      <c r="N36" s="50"/>
      <c r="O36" s="50"/>
      <c r="P36" s="51"/>
      <c r="Q36" s="51"/>
    </row>
    <row r="37" spans="1:17" s="247" customFormat="1" ht="15.6" customHeight="1" x14ac:dyDescent="0.3">
      <c r="A37" s="53" t="str">
        <f>'1B-ContPP'!A37</f>
        <v>Rezultatul financiar</v>
      </c>
      <c r="B37" s="54">
        <f>'1B-ContPP'!B37</f>
        <v>-8947</v>
      </c>
      <c r="C37" s="54">
        <f>'1B-ContPP'!C37</f>
        <v>-33617</v>
      </c>
      <c r="D37" s="54">
        <f>'1B-ContPP'!D37</f>
        <v>0</v>
      </c>
      <c r="E37" s="244"/>
      <c r="F37" s="53" t="s">
        <v>115</v>
      </c>
      <c r="G37" s="48">
        <f t="shared" si="5"/>
        <v>-2.5341229985753168E-3</v>
      </c>
      <c r="H37" s="48">
        <f t="shared" si="6"/>
        <v>-9.6254776661545225E-3</v>
      </c>
      <c r="I37" s="48" t="str">
        <f t="shared" si="7"/>
        <v/>
      </c>
      <c r="J37" s="244"/>
      <c r="K37" s="53" t="s">
        <v>115</v>
      </c>
      <c r="L37" s="48">
        <f t="shared" si="9"/>
        <v>2.75734883201073</v>
      </c>
      <c r="M37" s="48">
        <f t="shared" si="10"/>
        <v>-1</v>
      </c>
      <c r="N37" s="245"/>
      <c r="O37" s="245"/>
      <c r="P37" s="246"/>
      <c r="Q37" s="246"/>
    </row>
    <row r="38" spans="1:17" s="52" customFormat="1" ht="15.6" customHeight="1" x14ac:dyDescent="0.3">
      <c r="A38" s="242" t="str">
        <f>'1B-ContPP'!A40</f>
        <v>Rezultatul curent</v>
      </c>
      <c r="B38" s="47">
        <f>'1B-ContPP'!B40</f>
        <v>527014</v>
      </c>
      <c r="C38" s="47">
        <f>'1B-ContPP'!C40</f>
        <v>103064</v>
      </c>
      <c r="D38" s="47">
        <f>'1B-ContPP'!D40</f>
        <v>0</v>
      </c>
      <c r="E38" s="102"/>
      <c r="F38" s="242" t="s">
        <v>118</v>
      </c>
      <c r="G38" s="49">
        <f t="shared" si="5"/>
        <v>0.14926995618320912</v>
      </c>
      <c r="H38" s="49">
        <f t="shared" si="6"/>
        <v>2.9510076157436702E-2</v>
      </c>
      <c r="I38" s="49" t="str">
        <f t="shared" si="7"/>
        <v/>
      </c>
      <c r="J38" s="102"/>
      <c r="K38" s="242" t="s">
        <v>118</v>
      </c>
      <c r="L38" s="49">
        <f t="shared" si="9"/>
        <v>-0.80443783277104597</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3568282</v>
      </c>
      <c r="C42" s="47">
        <f>'1B-ContPP'!C48</f>
        <v>3511065</v>
      </c>
      <c r="D42" s="47">
        <f>'1B-ContPP'!D48</f>
        <v>0</v>
      </c>
      <c r="E42" s="102"/>
      <c r="F42" s="242" t="s">
        <v>126</v>
      </c>
      <c r="G42" s="49">
        <f t="shared" si="5"/>
        <v>1.0106701108307063</v>
      </c>
      <c r="H42" s="49">
        <f t="shared" si="6"/>
        <v>1.0053151007501213</v>
      </c>
      <c r="I42" s="49" t="str">
        <f t="shared" si="7"/>
        <v/>
      </c>
      <c r="J42" s="102"/>
      <c r="K42" s="242" t="s">
        <v>126</v>
      </c>
      <c r="L42" s="49">
        <f t="shared" si="9"/>
        <v>-1.6034887377174786E-2</v>
      </c>
      <c r="M42" s="49">
        <f t="shared" si="10"/>
        <v>-1</v>
      </c>
      <c r="N42" s="50"/>
      <c r="O42" s="50"/>
      <c r="P42" s="51"/>
      <c r="Q42" s="51"/>
    </row>
    <row r="43" spans="1:17" s="247" customFormat="1" ht="15.6" customHeight="1" x14ac:dyDescent="0.3">
      <c r="A43" s="242" t="str">
        <f>'1B-ContPP'!A49</f>
        <v>Cheltuieli totale</v>
      </c>
      <c r="B43" s="47">
        <f>'1B-ContPP'!B49</f>
        <v>3041268</v>
      </c>
      <c r="C43" s="47">
        <f>'1B-ContPP'!C49</f>
        <v>3408001</v>
      </c>
      <c r="D43" s="47">
        <f>'1B-ContPP'!D49</f>
        <v>0</v>
      </c>
      <c r="E43" s="244"/>
      <c r="F43" s="242" t="s">
        <v>127</v>
      </c>
      <c r="G43" s="49">
        <f t="shared" si="5"/>
        <v>0.8614001546474972</v>
      </c>
      <c r="H43" s="49">
        <f t="shared" si="6"/>
        <v>0.97580502459268459</v>
      </c>
      <c r="I43" s="49" t="str">
        <f t="shared" si="7"/>
        <v/>
      </c>
      <c r="J43" s="102"/>
      <c r="K43" s="242" t="s">
        <v>127</v>
      </c>
      <c r="L43" s="49">
        <f t="shared" si="9"/>
        <v>0.12058555839209172</v>
      </c>
      <c r="M43" s="49">
        <f t="shared" si="10"/>
        <v>-1</v>
      </c>
      <c r="N43" s="245"/>
      <c r="O43" s="245"/>
      <c r="P43" s="246"/>
      <c r="Q43" s="246"/>
    </row>
    <row r="44" spans="1:17" s="52" customFormat="1" ht="15.6" customHeight="1" x14ac:dyDescent="0.3">
      <c r="A44" s="242" t="str">
        <f>'1B-ContPP'!A50</f>
        <v>Rezultatul brut</v>
      </c>
      <c r="B44" s="47">
        <f>'1B-ContPP'!B50</f>
        <v>527014</v>
      </c>
      <c r="C44" s="47">
        <f>'1B-ContPP'!C50</f>
        <v>103064</v>
      </c>
      <c r="D44" s="47">
        <f>'1B-ContPP'!D50</f>
        <v>0</v>
      </c>
      <c r="E44" s="102"/>
      <c r="F44" s="242" t="s">
        <v>128</v>
      </c>
      <c r="G44" s="49">
        <f t="shared" si="5"/>
        <v>0.14926995618320912</v>
      </c>
      <c r="H44" s="49">
        <f t="shared" si="6"/>
        <v>2.9510076157436702E-2</v>
      </c>
      <c r="I44" s="49" t="str">
        <f t="shared" si="7"/>
        <v/>
      </c>
      <c r="J44" s="102"/>
      <c r="K44" s="242" t="s">
        <v>128</v>
      </c>
      <c r="L44" s="49">
        <f t="shared" si="9"/>
        <v>-0.80443783277104597</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f t="shared" si="5"/>
        <v>0</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35683</v>
      </c>
      <c r="C46" s="54">
        <f>'1B-ContPP'!C54</f>
        <v>34954</v>
      </c>
      <c r="D46" s="54">
        <f>'1B-ContPP'!D54</f>
        <v>0</v>
      </c>
      <c r="E46" s="244"/>
      <c r="F46" s="53" t="str">
        <f>$A$46</f>
        <v>Alte impozite neprezentate la elementele de mai sus</v>
      </c>
      <c r="G46" s="48">
        <f t="shared" si="5"/>
        <v>1.010675209099844E-2</v>
      </c>
      <c r="H46" s="48">
        <f t="shared" si="6"/>
        <v>1.0008297776207429E-2</v>
      </c>
      <c r="I46" s="48" t="str">
        <f t="shared" si="7"/>
        <v/>
      </c>
      <c r="J46" s="244"/>
      <c r="K46" s="53" t="str">
        <f>F46</f>
        <v>Alte impozite neprezentate la elementele de mai sus</v>
      </c>
      <c r="L46" s="48">
        <f t="shared" si="9"/>
        <v>-2.0429896589412324E-2</v>
      </c>
      <c r="M46" s="48">
        <f t="shared" si="10"/>
        <v>-1</v>
      </c>
      <c r="N46" s="245"/>
      <c r="O46" s="245"/>
      <c r="P46" s="246"/>
      <c r="Q46" s="246"/>
    </row>
    <row r="47" spans="1:17" s="52" customFormat="1" ht="15.6" customHeight="1" x14ac:dyDescent="0.3">
      <c r="A47" s="242" t="str">
        <f>'1B-ContPP'!A55</f>
        <v>Rezultatul net</v>
      </c>
      <c r="B47" s="47">
        <f>'1B-ContPP'!B55</f>
        <v>491331</v>
      </c>
      <c r="C47" s="47">
        <f>'1B-ContPP'!C55</f>
        <v>68110</v>
      </c>
      <c r="D47" s="47">
        <f>'1B-ContPP'!D55</f>
        <v>0</v>
      </c>
      <c r="E47" s="102"/>
      <c r="F47" s="242" t="s">
        <v>133</v>
      </c>
      <c r="G47" s="49">
        <f t="shared" si="5"/>
        <v>0.1391632040922107</v>
      </c>
      <c r="H47" s="49">
        <f t="shared" si="6"/>
        <v>1.9501778381229275E-2</v>
      </c>
      <c r="I47" s="49" t="str">
        <f t="shared" si="7"/>
        <v/>
      </c>
      <c r="J47" s="102"/>
      <c r="K47" s="242" t="s">
        <v>133</v>
      </c>
      <c r="L47" s="49">
        <f t="shared" si="9"/>
        <v>-0.86137654656433238</v>
      </c>
      <c r="M47" s="49">
        <f t="shared" si="10"/>
        <v>-1</v>
      </c>
      <c r="N47" s="50"/>
      <c r="O47" s="50"/>
      <c r="P47" s="51"/>
      <c r="Q47" s="51"/>
    </row>
    <row r="48" spans="1:17" s="52" customFormat="1" ht="15.6" customHeight="1" x14ac:dyDescent="0.3">
      <c r="A48" s="242" t="s">
        <v>161</v>
      </c>
      <c r="B48" s="47">
        <f>B47+B45+B46</f>
        <v>527014</v>
      </c>
      <c r="C48" s="47">
        <f>C47+C45+C46</f>
        <v>103064</v>
      </c>
      <c r="D48" s="47">
        <f>D47+D45+D46</f>
        <v>0</v>
      </c>
      <c r="E48" s="102"/>
      <c r="F48" s="242" t="s">
        <v>161</v>
      </c>
      <c r="G48" s="49">
        <f t="shared" si="5"/>
        <v>0.14926995618320912</v>
      </c>
      <c r="H48" s="49">
        <f t="shared" si="6"/>
        <v>2.9510076157436702E-2</v>
      </c>
      <c r="I48" s="49" t="str">
        <f t="shared" si="7"/>
        <v/>
      </c>
      <c r="J48" s="102"/>
      <c r="K48" s="242" t="s">
        <v>161</v>
      </c>
      <c r="L48" s="49">
        <f t="shared" si="9"/>
        <v>-0.80443783277104597</v>
      </c>
      <c r="M48" s="49">
        <f t="shared" si="10"/>
        <v>-1</v>
      </c>
      <c r="N48" s="50"/>
      <c r="O48" s="50"/>
      <c r="P48" s="51"/>
      <c r="Q48" s="51"/>
    </row>
    <row r="49" spans="1:17" s="247" customFormat="1" ht="15.6" customHeight="1" x14ac:dyDescent="0.3">
      <c r="A49" s="242" t="s">
        <v>162</v>
      </c>
      <c r="B49" s="47">
        <f>B48+B34</f>
        <v>556180</v>
      </c>
      <c r="C49" s="47">
        <f>C48+C34</f>
        <v>142822</v>
      </c>
      <c r="D49" s="47">
        <f>D48+D34</f>
        <v>0</v>
      </c>
      <c r="E49" s="244"/>
      <c r="F49" s="242" t="s">
        <v>162</v>
      </c>
      <c r="G49" s="49">
        <f t="shared" si="5"/>
        <v>0.15753085160921201</v>
      </c>
      <c r="H49" s="49">
        <f t="shared" si="6"/>
        <v>4.0893892115165573E-2</v>
      </c>
      <c r="I49" s="49" t="str">
        <f t="shared" si="7"/>
        <v/>
      </c>
      <c r="J49" s="102"/>
      <c r="K49" s="242" t="s">
        <v>162</v>
      </c>
      <c r="L49" s="49">
        <f t="shared" si="9"/>
        <v>-0.74320903304685537</v>
      </c>
      <c r="M49" s="49">
        <f t="shared" si="10"/>
        <v>-1</v>
      </c>
      <c r="N49" s="245"/>
      <c r="O49" s="245"/>
      <c r="P49" s="246"/>
      <c r="Q49" s="246"/>
    </row>
    <row r="50" spans="1:17" s="247" customFormat="1" ht="15.6" customHeight="1" x14ac:dyDescent="0.3">
      <c r="A50" s="242" t="s">
        <v>163</v>
      </c>
      <c r="B50" s="47">
        <f>B49+B33+B29</f>
        <v>703467</v>
      </c>
      <c r="C50" s="47">
        <f>C49+C33+C29</f>
        <v>346609</v>
      </c>
      <c r="D50" s="47">
        <f>D49+D33+D29</f>
        <v>0</v>
      </c>
      <c r="E50" s="244"/>
      <c r="F50" s="242" t="s">
        <v>163</v>
      </c>
      <c r="G50" s="49">
        <f t="shared" si="5"/>
        <v>0.19924800530219991</v>
      </c>
      <c r="H50" s="49">
        <f t="shared" si="6"/>
        <v>9.9243751327844618E-2</v>
      </c>
      <c r="I50" s="49" t="str">
        <f t="shared" si="7"/>
        <v/>
      </c>
      <c r="J50" s="102"/>
      <c r="K50" s="242" t="s">
        <v>163</v>
      </c>
      <c r="L50" s="49">
        <f t="shared" si="9"/>
        <v>-0.5072846345315416</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8" t="s">
        <v>164</v>
      </c>
      <c r="B1" s="319"/>
      <c r="C1" s="319"/>
      <c r="D1" s="319"/>
    </row>
    <row r="2" spans="1:4" s="64" customFormat="1" ht="27.75" customHeight="1" x14ac:dyDescent="0.3">
      <c r="A2" s="320" t="s">
        <v>165</v>
      </c>
      <c r="B2" s="319"/>
      <c r="C2" s="319"/>
      <c r="D2" s="319"/>
    </row>
    <row r="3" spans="1:4" s="64" customFormat="1" ht="17.399999999999999" customHeight="1" x14ac:dyDescent="0.3">
      <c r="A3" s="321"/>
      <c r="B3" s="319"/>
      <c r="C3" s="319"/>
      <c r="D3" s="319"/>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4" t="s">
        <v>195</v>
      </c>
      <c r="B45" s="235">
        <f>IF(B43&lt;0,"nu se calculeaza",IFERROR('1C-Analiza_fin_extinsa'!B47/'1C-Analiza_fin_extinsa'!B21,""))</f>
        <v>0.27599500510331043</v>
      </c>
      <c r="C45" s="235">
        <f>IF(C43&lt;0,"nu se calculeaza",IFERROR('1C-Analiza_fin_extinsa'!C47/'1C-Analiza_fin_extinsa'!C21,""))</f>
        <v>6.4927822491851847E-2</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4" t="s">
        <v>199</v>
      </c>
      <c r="B49" s="235">
        <f>IF(B43&lt;0,"nu se calculeaza",IFERROR('1C-Analiza_fin_extinsa'!B47/'1C-Analiza_fin_extinsa'!B20,""))</f>
        <v>0.579857222266151</v>
      </c>
      <c r="C49" s="235">
        <f>IF(C43&lt;0,"nu se calculeaza",IFERROR('1C-Analiza_fin_extinsa'!C47/'1C-Analiza_fin_extinsa'!C20,""))</f>
        <v>0.99648866130212144</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8" t="s">
        <v>206</v>
      </c>
      <c r="B59" s="74">
        <f>IFERROR(B49-B54,"")</f>
        <v>-7.4081365025209012E-2</v>
      </c>
      <c r="C59" s="74">
        <f>IFERROR(C49-C54,"")</f>
        <v>0.52633611569315697</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1.2302354822853172</v>
      </c>
      <c r="C85" s="233">
        <f>IFERROR('1C-Analiza_fin_extinsa'!C5/'1C-Analiza_fin_extinsa'!C11,"")</f>
        <v>0.36333200488974587</v>
      </c>
      <c r="D85" s="233" t="str">
        <f>IFERROR('1C-Analiza_fin_extinsa'!D5/'1C-Analiza_fin_extinsa'!D11,"")</f>
        <v/>
      </c>
      <c r="F85" s="231"/>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2" t="s">
        <v>235</v>
      </c>
      <c r="B91" s="233">
        <f>IFERROR('1C-Analiza_fin_extinsa'!B10/('1C-Analiza_fin_extinsa'!B11+'1C-Analiza_fin_extinsa'!B16),"")</f>
        <v>1.9082899732657581</v>
      </c>
      <c r="C91" s="233">
        <f>IFERROR('1C-Analiza_fin_extinsa'!C10/('1C-Analiza_fin_extinsa'!C11+'1C-Analiza_fin_extinsa'!C16),"")</f>
        <v>1.0696978874453047</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4" t="s">
        <v>241</v>
      </c>
      <c r="B97" s="235">
        <f>IFERROR(('1C-Analiza_fin_extinsa'!B11+'1C-Analiza_fin_extinsa'!B16)/'1C-Analiza_fin_extinsa'!B21,"")</f>
        <v>0.52402937394710869</v>
      </c>
      <c r="C97" s="235">
        <f>IFERROR(('1C-Analiza_fin_extinsa'!C11+'1C-Analiza_fin_extinsa'!C16)/'1C-Analiza_fin_extinsa'!C21,"")</f>
        <v>0.9348433905840835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8" t="s">
        <v>242</v>
      </c>
      <c r="B1" s="298"/>
      <c r="C1" s="298"/>
      <c r="D1" s="298"/>
      <c r="E1" s="81"/>
      <c r="F1" s="81"/>
    </row>
    <row r="2" spans="1:6" x14ac:dyDescent="0.3">
      <c r="A2" s="1"/>
      <c r="B2" s="1"/>
      <c r="C2" s="1"/>
      <c r="D2" s="1"/>
      <c r="E2" s="1"/>
      <c r="F2" s="1"/>
    </row>
    <row r="3" spans="1:6" x14ac:dyDescent="0.3">
      <c r="A3" s="322" t="s">
        <v>243</v>
      </c>
      <c r="B3" s="317"/>
      <c r="C3" s="317"/>
      <c r="D3" s="317"/>
      <c r="E3" s="317"/>
      <c r="F3" s="317"/>
    </row>
    <row r="4" spans="1:6" ht="39" customHeight="1" x14ac:dyDescent="0.3">
      <c r="A4" s="322" t="s">
        <v>244</v>
      </c>
      <c r="B4" s="317"/>
      <c r="C4" s="317"/>
      <c r="D4" s="317"/>
      <c r="E4" s="317"/>
      <c r="F4" s="317"/>
    </row>
    <row r="5" spans="1:6" x14ac:dyDescent="0.3">
      <c r="A5" s="301"/>
      <c r="B5" s="301"/>
      <c r="C5" s="301"/>
      <c r="D5" s="301"/>
      <c r="E5" s="301"/>
      <c r="F5" s="301"/>
    </row>
    <row r="6" spans="1:6" x14ac:dyDescent="0.3">
      <c r="A6" s="338" t="s">
        <v>245</v>
      </c>
      <c r="B6" s="317"/>
      <c r="C6" s="317"/>
      <c r="D6" s="317"/>
      <c r="E6" s="317"/>
      <c r="F6" s="317"/>
    </row>
    <row r="8" spans="1:6" ht="54" customHeight="1" x14ac:dyDescent="0.3">
      <c r="A8" s="2" t="s">
        <v>246</v>
      </c>
      <c r="B8" s="336" t="s">
        <v>247</v>
      </c>
      <c r="C8" s="326"/>
      <c r="D8" s="326"/>
      <c r="E8" s="326"/>
      <c r="F8" s="337"/>
    </row>
    <row r="9" spans="1:6" x14ac:dyDescent="0.3">
      <c r="A9" s="82"/>
      <c r="B9" s="339" t="s">
        <v>248</v>
      </c>
      <c r="C9" s="317"/>
      <c r="D9" s="317"/>
      <c r="E9" s="317"/>
      <c r="F9" s="324"/>
    </row>
    <row r="10" spans="1:6" x14ac:dyDescent="0.3">
      <c r="A10" s="82"/>
      <c r="B10" s="330" t="s">
        <v>249</v>
      </c>
      <c r="C10" s="317"/>
      <c r="D10" s="317"/>
      <c r="E10" s="317"/>
      <c r="F10" s="255">
        <f>'1A-Bilant'!C82</f>
        <v>0</v>
      </c>
    </row>
    <row r="11" spans="1:6" x14ac:dyDescent="0.3">
      <c r="A11" s="82"/>
      <c r="B11" s="330" t="s">
        <v>250</v>
      </c>
      <c r="C11" s="317"/>
      <c r="D11" s="317"/>
      <c r="E11" s="317"/>
      <c r="F11" s="255">
        <f>'1A-Bilant'!C85</f>
        <v>68110</v>
      </c>
    </row>
    <row r="12" spans="1:6" x14ac:dyDescent="0.3">
      <c r="A12" s="82"/>
      <c r="B12" s="331" t="s">
        <v>251</v>
      </c>
      <c r="C12" s="317"/>
      <c r="D12" s="317"/>
      <c r="E12" s="317"/>
      <c r="F12" s="256">
        <f>F10+F11</f>
        <v>68110</v>
      </c>
    </row>
    <row r="13" spans="1:6" ht="27" customHeight="1" x14ac:dyDescent="0.3">
      <c r="A13" s="82"/>
      <c r="B13" s="333" t="s">
        <v>252</v>
      </c>
      <c r="C13" s="317"/>
      <c r="D13" s="317"/>
      <c r="E13" s="317"/>
      <c r="F13" s="324"/>
    </row>
    <row r="14" spans="1:6" ht="25.5" customHeight="1" x14ac:dyDescent="0.3">
      <c r="A14" s="82"/>
      <c r="B14" s="332" t="s">
        <v>253</v>
      </c>
      <c r="C14" s="328"/>
      <c r="D14" s="328"/>
      <c r="E14" s="328"/>
      <c r="F14" s="329"/>
    </row>
    <row r="15" spans="1:6" x14ac:dyDescent="0.3">
      <c r="A15" s="82"/>
      <c r="B15" s="330" t="s">
        <v>254</v>
      </c>
      <c r="C15" s="317"/>
      <c r="D15" s="317"/>
      <c r="E15" s="317"/>
      <c r="F15" s="255">
        <f>'1A-Bilant'!C69</f>
        <v>200</v>
      </c>
    </row>
    <row r="16" spans="1:6" x14ac:dyDescent="0.3">
      <c r="A16" s="82"/>
      <c r="B16" s="330" t="s">
        <v>255</v>
      </c>
      <c r="C16" s="317"/>
      <c r="D16" s="317"/>
      <c r="E16" s="317"/>
      <c r="F16" s="255">
        <f>'1A-Bilant'!C74</f>
        <v>0</v>
      </c>
    </row>
    <row r="17" spans="1:6" x14ac:dyDescent="0.3">
      <c r="A17" s="82"/>
      <c r="B17" s="335" t="s">
        <v>256</v>
      </c>
      <c r="C17" s="317"/>
      <c r="D17" s="317"/>
      <c r="E17" s="317"/>
      <c r="F17" s="255">
        <f>'1A-Bilant'!C75</f>
        <v>0</v>
      </c>
    </row>
    <row r="18" spans="1:6" x14ac:dyDescent="0.3">
      <c r="A18" s="82"/>
      <c r="B18" s="335" t="s">
        <v>257</v>
      </c>
      <c r="C18" s="317"/>
      <c r="D18" s="317"/>
      <c r="E18" s="317"/>
      <c r="F18" s="255">
        <f>'1A-Bilant'!C78</f>
        <v>40</v>
      </c>
    </row>
    <row r="19" spans="1:6" x14ac:dyDescent="0.3">
      <c r="A19" s="82"/>
      <c r="B19" s="334" t="s">
        <v>258</v>
      </c>
      <c r="C19" s="317"/>
      <c r="D19" s="317"/>
      <c r="E19" s="317"/>
      <c r="F19" s="256">
        <f>F12+SUM(F16:F18)</f>
        <v>68150</v>
      </c>
    </row>
    <row r="20" spans="1:6" ht="29.25" customHeight="1" x14ac:dyDescent="0.3">
      <c r="A20" s="82"/>
      <c r="B20" s="327" t="s">
        <v>259</v>
      </c>
      <c r="C20" s="328"/>
      <c r="D20" s="328"/>
      <c r="E20" s="328"/>
      <c r="F20" s="329"/>
    </row>
    <row r="21" spans="1:6" ht="18" customHeight="1" x14ac:dyDescent="0.3">
      <c r="A21" s="82"/>
      <c r="B21" s="300" t="s">
        <v>260</v>
      </c>
      <c r="C21" s="323" t="str">
        <f>CONCATENATE("Solicitantul ",IF(F12&gt;=0,"nu ",IF(F19&gt;=0,"nu ", IF(ABS(F19)&gt;F15/2,"","nu "))),"se încadrează în categoria întreprinderilor în dificultate")</f>
        <v>Solicitantul nu se încadrează în categoria întreprinderilor în dificultate</v>
      </c>
      <c r="D21" s="317"/>
      <c r="E21" s="317"/>
      <c r="F21" s="324"/>
    </row>
    <row r="22" spans="1:6" x14ac:dyDescent="0.3">
      <c r="A22" s="82"/>
      <c r="B22" s="83"/>
      <c r="C22" s="83"/>
      <c r="D22" s="83"/>
      <c r="E22" s="83"/>
      <c r="F22" s="84"/>
    </row>
    <row r="23" spans="1:6" ht="39" customHeight="1" x14ac:dyDescent="0.3">
      <c r="A23" s="3" t="s">
        <v>261</v>
      </c>
      <c r="B23" s="325" t="s">
        <v>262</v>
      </c>
      <c r="C23" s="326"/>
      <c r="D23" s="326"/>
      <c r="E23" s="326"/>
      <c r="F23" s="326"/>
    </row>
    <row r="24" spans="1:6" ht="26.25" customHeight="1" x14ac:dyDescent="0.3">
      <c r="A24" s="3" t="s">
        <v>263</v>
      </c>
      <c r="B24" s="325" t="s">
        <v>264</v>
      </c>
      <c r="C24" s="326"/>
      <c r="D24" s="326"/>
      <c r="E24" s="326"/>
      <c r="F24" s="326"/>
    </row>
    <row r="27" spans="1:6" ht="25.5" customHeight="1" x14ac:dyDescent="0.3">
      <c r="A27" s="322" t="s">
        <v>265</v>
      </c>
      <c r="B27" s="317"/>
      <c r="C27" s="317"/>
      <c r="D27" s="317"/>
      <c r="E27" s="317"/>
      <c r="F27" s="317"/>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I24" sqref="I24"/>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6" t="s">
        <v>266</v>
      </c>
      <c r="B1" s="317"/>
      <c r="C1" s="317"/>
      <c r="D1" s="317"/>
      <c r="E1" s="317"/>
      <c r="F1" s="317"/>
      <c r="G1" s="317"/>
    </row>
    <row r="2" spans="1:14" ht="40.5" customHeight="1" x14ac:dyDescent="0.3">
      <c r="A2" s="313" t="s">
        <v>267</v>
      </c>
      <c r="B2" s="317"/>
      <c r="C2" s="317"/>
      <c r="D2" s="317"/>
      <c r="E2" s="317"/>
      <c r="F2" s="317"/>
      <c r="G2" s="317"/>
    </row>
    <row r="3" spans="1:14" x14ac:dyDescent="0.3">
      <c r="B3" s="321"/>
      <c r="C3" s="317"/>
    </row>
    <row r="4" spans="1:14" ht="13.8" customHeight="1" x14ac:dyDescent="0.3">
      <c r="A4" s="347" t="s">
        <v>268</v>
      </c>
      <c r="B4" s="350" t="s">
        <v>269</v>
      </c>
      <c r="C4" s="350" t="s">
        <v>270</v>
      </c>
      <c r="D4" s="350" t="s">
        <v>271</v>
      </c>
      <c r="E4" s="264" t="s">
        <v>272</v>
      </c>
      <c r="F4" s="246"/>
      <c r="G4" s="246"/>
      <c r="L4" s="270"/>
      <c r="M4" s="270"/>
      <c r="N4" s="270"/>
    </row>
    <row r="5" spans="1:14" s="198" customFormat="1" ht="15" customHeight="1" x14ac:dyDescent="0.3">
      <c r="A5" s="348"/>
      <c r="B5" s="348"/>
      <c r="C5" s="348"/>
      <c r="D5" s="348"/>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151790.29999999999</v>
      </c>
      <c r="D7" s="42" t="str">
        <f t="shared" si="0"/>
        <v/>
      </c>
      <c r="E7" s="34">
        <v>151790.29999999999</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268884.31</v>
      </c>
      <c r="D8" s="42" t="str">
        <f t="shared" si="0"/>
        <v/>
      </c>
      <c r="E8" s="34">
        <v>268884.31</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14300</v>
      </c>
      <c r="D11" s="42" t="str">
        <f t="shared" si="0"/>
        <v/>
      </c>
      <c r="E11" s="34">
        <v>14300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434974.61</v>
      </c>
      <c r="D19" s="42" t="str">
        <f t="shared" si="0"/>
        <v/>
      </c>
      <c r="E19" s="182">
        <f>SUM(E6:E18)</f>
        <v>434974.61</v>
      </c>
      <c r="F19" s="214"/>
      <c r="G19" s="209"/>
      <c r="H19" s="214"/>
      <c r="I19" s="214"/>
      <c r="J19" s="214"/>
      <c r="K19" s="214"/>
    </row>
    <row r="20" spans="1:14" s="187" customFormat="1" x14ac:dyDescent="0.3">
      <c r="A20" s="303"/>
      <c r="B20" s="186"/>
      <c r="C20" s="201"/>
      <c r="D20" s="202"/>
      <c r="E20" s="203"/>
      <c r="F20" s="203"/>
      <c r="G20" s="203"/>
      <c r="H20" s="209"/>
      <c r="I20" s="209"/>
      <c r="J20" s="209"/>
      <c r="K20" s="209"/>
      <c r="L20" s="209"/>
      <c r="M20" s="209"/>
      <c r="N20" s="209"/>
    </row>
    <row r="21" spans="1:14" s="187" customFormat="1" x14ac:dyDescent="0.3">
      <c r="A21" s="303"/>
      <c r="B21" s="188"/>
      <c r="C21" s="201"/>
      <c r="D21" s="202"/>
      <c r="E21" s="203"/>
      <c r="F21" s="203"/>
      <c r="G21" s="203"/>
      <c r="H21" s="209"/>
      <c r="I21" s="209"/>
      <c r="J21" s="209"/>
      <c r="K21" s="209"/>
      <c r="L21" s="209"/>
      <c r="M21" s="209"/>
      <c r="N21" s="209"/>
    </row>
    <row r="22" spans="1:14" s="225" customFormat="1" x14ac:dyDescent="0.3">
      <c r="A22" s="351" t="s">
        <v>278</v>
      </c>
      <c r="B22" s="329"/>
      <c r="C22" s="349" t="s">
        <v>270</v>
      </c>
      <c r="D22" s="350" t="s">
        <v>271</v>
      </c>
      <c r="E22" s="265" t="s">
        <v>272</v>
      </c>
      <c r="F22" s="246"/>
      <c r="G22" s="209"/>
      <c r="H22" s="246"/>
      <c r="I22" s="246"/>
      <c r="J22" s="246"/>
      <c r="K22" s="246"/>
    </row>
    <row r="23" spans="1:14" s="190" customFormat="1" x14ac:dyDescent="0.3">
      <c r="A23" s="352"/>
      <c r="B23" s="353"/>
      <c r="C23" s="348"/>
      <c r="D23" s="348"/>
      <c r="E23" s="189" t="s">
        <v>273</v>
      </c>
      <c r="F23" s="179"/>
      <c r="G23" s="209"/>
      <c r="H23" s="179"/>
      <c r="I23" s="179"/>
      <c r="J23" s="179"/>
      <c r="K23" s="179"/>
    </row>
    <row r="24" spans="1:14" s="193" customFormat="1" x14ac:dyDescent="0.3">
      <c r="A24" s="354" t="s">
        <v>279</v>
      </c>
      <c r="B24" s="337"/>
      <c r="C24" s="191">
        <f>'2A-Buget_cerere'!C23</f>
        <v>434974.61</v>
      </c>
      <c r="D24" s="42" t="str">
        <f>IF(E24&lt;&gt;C24,"Eroare!","")</f>
        <v/>
      </c>
      <c r="E24" s="39">
        <f>E19</f>
        <v>434974.61</v>
      </c>
      <c r="F24" s="192"/>
      <c r="G24" s="209"/>
      <c r="H24" s="192"/>
      <c r="I24" s="192"/>
      <c r="J24" s="192"/>
      <c r="K24" s="192"/>
    </row>
    <row r="25" spans="1:14" s="193" customFormat="1" x14ac:dyDescent="0.3">
      <c r="A25" s="356" t="s">
        <v>280</v>
      </c>
      <c r="B25" s="337"/>
      <c r="C25" s="251">
        <f>'2A-Buget_cerere'!G18</f>
        <v>67166.540000000008</v>
      </c>
      <c r="D25" s="42" t="str">
        <f>IF(E25&lt;&gt;C25,"Eroare!","")</f>
        <v/>
      </c>
      <c r="E25" s="259">
        <v>67166.539999999994</v>
      </c>
      <c r="F25" s="192"/>
      <c r="G25" s="209"/>
      <c r="H25" s="192"/>
      <c r="I25" s="192"/>
      <c r="J25" s="192"/>
      <c r="K25" s="192"/>
    </row>
    <row r="26" spans="1:14" s="193" customFormat="1" x14ac:dyDescent="0.3">
      <c r="A26" s="354" t="s">
        <v>281</v>
      </c>
      <c r="B26" s="337"/>
      <c r="C26" s="191">
        <f>'2A-Buget_cerere'!C26</f>
        <v>232680.17</v>
      </c>
      <c r="D26" s="42" t="str">
        <f>IF(E26&lt;&gt;C26,"Eroare!","")</f>
        <v/>
      </c>
      <c r="E26" s="39">
        <v>232680.17</v>
      </c>
      <c r="F26" s="192"/>
      <c r="G26" s="209"/>
      <c r="H26" s="192"/>
      <c r="I26" s="192"/>
      <c r="J26" s="192"/>
      <c r="K26" s="192"/>
    </row>
    <row r="27" spans="1:14" s="190" customFormat="1" x14ac:dyDescent="0.3">
      <c r="A27" s="355" t="s">
        <v>282</v>
      </c>
      <c r="B27" s="337"/>
      <c r="C27" s="191"/>
      <c r="D27" s="42"/>
      <c r="E27" s="34">
        <v>232680.17</v>
      </c>
      <c r="F27" s="179"/>
      <c r="G27" s="209"/>
      <c r="H27" s="179"/>
      <c r="I27" s="179"/>
      <c r="J27" s="179"/>
      <c r="K27" s="179"/>
    </row>
    <row r="28" spans="1:14" s="190" customFormat="1" x14ac:dyDescent="0.3">
      <c r="A28" s="355" t="s">
        <v>283</v>
      </c>
      <c r="B28" s="337"/>
      <c r="C28" s="191"/>
      <c r="D28" s="42"/>
      <c r="E28" s="34">
        <v>0</v>
      </c>
      <c r="F28" s="179"/>
      <c r="G28" s="209"/>
      <c r="H28" s="179"/>
      <c r="I28" s="179"/>
      <c r="J28" s="179"/>
      <c r="K28" s="179"/>
    </row>
    <row r="29" spans="1:14" s="193" customFormat="1" x14ac:dyDescent="0.3">
      <c r="A29" s="354" t="str">
        <f>'2A-Buget_cerere'!B29</f>
        <v>ASISTENŢĂ FINANCIARĂ NERAMBURSABILĂ SOLICITATĂ</v>
      </c>
      <c r="B29" s="337"/>
      <c r="C29" s="191">
        <f>'2A-Buget_cerere'!C29</f>
        <v>202294.43999999997</v>
      </c>
      <c r="D29" s="42" t="str">
        <f>IF(E29&lt;&gt;C29,"Eroare!","")</f>
        <v/>
      </c>
      <c r="E29" s="34">
        <v>202294.44</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43" t="s">
        <v>284</v>
      </c>
      <c r="B32" s="341"/>
      <c r="C32" s="341"/>
      <c r="D32" s="202"/>
      <c r="E32" s="203"/>
      <c r="F32" s="203"/>
      <c r="G32" s="203"/>
      <c r="H32" s="179"/>
      <c r="I32" s="179"/>
      <c r="J32" s="179"/>
      <c r="K32" s="179"/>
      <c r="L32" s="179"/>
      <c r="M32" s="179"/>
      <c r="N32" s="179"/>
    </row>
    <row r="33" spans="1:14" s="198" customFormat="1" ht="15" customHeight="1" x14ac:dyDescent="0.3">
      <c r="A33" s="345" t="s">
        <v>285</v>
      </c>
      <c r="B33" s="337"/>
      <c r="C33" s="197" t="s">
        <v>286</v>
      </c>
      <c r="D33" s="189" t="s">
        <v>273</v>
      </c>
      <c r="E33" s="189" t="s">
        <v>287</v>
      </c>
      <c r="F33" s="189" t="s">
        <v>288</v>
      </c>
      <c r="G33" s="189" t="s">
        <v>289</v>
      </c>
      <c r="N33" s="179"/>
    </row>
    <row r="34" spans="1:14" s="198" customFormat="1" ht="15" customHeight="1" x14ac:dyDescent="0.3">
      <c r="A34" s="342" t="s">
        <v>290</v>
      </c>
      <c r="B34" s="337"/>
      <c r="C34" s="42">
        <f>SUM(D34:G34)</f>
        <v>0</v>
      </c>
      <c r="D34" s="39">
        <f>E28</f>
        <v>0</v>
      </c>
      <c r="E34" s="39"/>
      <c r="F34" s="39"/>
      <c r="G34" s="39"/>
      <c r="N34" s="179"/>
    </row>
    <row r="35" spans="1:14" s="198" customFormat="1" ht="15" customHeight="1" x14ac:dyDescent="0.3">
      <c r="A35" s="342" t="s">
        <v>291</v>
      </c>
      <c r="B35" s="337"/>
      <c r="C35" s="42">
        <f>SUM(D35:G35)</f>
        <v>0</v>
      </c>
      <c r="D35" s="34">
        <v>0</v>
      </c>
      <c r="E35" s="34">
        <v>0</v>
      </c>
      <c r="F35" s="34">
        <v>0</v>
      </c>
      <c r="G35" s="34">
        <v>0</v>
      </c>
      <c r="N35" s="179"/>
    </row>
    <row r="36" spans="1:14" s="198" customFormat="1" ht="15" customHeight="1" x14ac:dyDescent="0.3">
      <c r="A36" s="342" t="s">
        <v>292</v>
      </c>
      <c r="B36" s="337"/>
      <c r="C36" s="42">
        <f>SUM(D36:G36)</f>
        <v>0</v>
      </c>
      <c r="D36" s="34">
        <v>0</v>
      </c>
      <c r="E36" s="34">
        <v>0</v>
      </c>
      <c r="F36" s="34">
        <v>0</v>
      </c>
      <c r="G36" s="34">
        <v>0</v>
      </c>
      <c r="N36" s="179"/>
    </row>
    <row r="37" spans="1:14" s="199" customFormat="1" ht="15" customHeight="1" x14ac:dyDescent="0.3">
      <c r="A37" s="344" t="s">
        <v>293</v>
      </c>
      <c r="B37" s="337"/>
      <c r="C37" s="42">
        <f>SUM(D37:G37)</f>
        <v>0</v>
      </c>
      <c r="D37" s="39">
        <f>D36+D35</f>
        <v>0</v>
      </c>
      <c r="E37" s="39">
        <f>E36+E35</f>
        <v>0</v>
      </c>
      <c r="F37" s="39">
        <f>F36+F35</f>
        <v>0</v>
      </c>
      <c r="G37" s="39">
        <f>G36+G35</f>
        <v>0</v>
      </c>
      <c r="N37" s="192"/>
    </row>
    <row r="38" spans="1:14" s="198" customFormat="1" ht="14.4" customHeight="1" x14ac:dyDescent="0.3">
      <c r="A38" s="303"/>
      <c r="B38" s="299"/>
      <c r="C38" s="201"/>
      <c r="D38" s="202"/>
      <c r="G38" s="230"/>
      <c r="H38" s="179"/>
      <c r="I38" s="179"/>
      <c r="J38" s="179"/>
      <c r="K38" s="179"/>
      <c r="L38" s="179"/>
      <c r="M38" s="179"/>
      <c r="N38" s="179"/>
    </row>
    <row r="39" spans="1:14" s="198" customFormat="1" ht="14.4" customHeight="1" x14ac:dyDescent="0.3">
      <c r="A39" s="303"/>
      <c r="B39" s="299"/>
      <c r="C39" s="201"/>
      <c r="D39" s="202"/>
      <c r="E39" s="203"/>
      <c r="F39" s="203"/>
      <c r="G39" s="203"/>
      <c r="H39" s="179"/>
      <c r="I39" s="179"/>
      <c r="J39" s="179"/>
      <c r="K39" s="179"/>
      <c r="L39" s="179"/>
      <c r="M39" s="179"/>
      <c r="N39" s="179"/>
    </row>
    <row r="40" spans="1:14" s="198" customFormat="1" ht="14.4" customHeight="1" x14ac:dyDescent="0.3">
      <c r="A40" s="340" t="s">
        <v>294</v>
      </c>
      <c r="B40" s="341"/>
      <c r="C40" s="324"/>
      <c r="D40" s="189" t="s">
        <v>273</v>
      </c>
      <c r="E40" s="263" t="s">
        <v>287</v>
      </c>
      <c r="F40" s="189" t="s">
        <v>288</v>
      </c>
      <c r="G40" s="189" t="s">
        <v>289</v>
      </c>
      <c r="H40" s="179"/>
      <c r="I40" s="179"/>
      <c r="J40" s="179"/>
      <c r="K40" s="179"/>
      <c r="L40" s="179"/>
      <c r="M40" s="179"/>
      <c r="N40" s="179"/>
    </row>
    <row r="41" spans="1:14" s="198" customFormat="1" ht="14.4" customHeight="1" x14ac:dyDescent="0.3">
      <c r="A41" s="342" t="s">
        <v>156</v>
      </c>
      <c r="B41" s="326"/>
      <c r="C41" s="337"/>
      <c r="D41" s="34">
        <v>0</v>
      </c>
      <c r="E41" s="34">
        <v>0</v>
      </c>
      <c r="F41" s="34">
        <v>0</v>
      </c>
      <c r="G41" s="34">
        <v>0</v>
      </c>
      <c r="H41" s="179"/>
      <c r="I41" s="179"/>
      <c r="J41" s="179"/>
      <c r="K41" s="179"/>
      <c r="L41" s="179"/>
      <c r="M41" s="179"/>
      <c r="N41" s="179"/>
    </row>
    <row r="42" spans="1:14" s="198" customFormat="1" ht="14.4" customHeight="1" x14ac:dyDescent="0.3">
      <c r="A42" s="342" t="s">
        <v>295</v>
      </c>
      <c r="B42" s="326"/>
      <c r="C42" s="337"/>
      <c r="D42" s="39">
        <f>D34-D35</f>
        <v>0</v>
      </c>
      <c r="E42" s="176">
        <f>D42+E34-E35</f>
        <v>0</v>
      </c>
      <c r="F42" s="39">
        <f>E42+F34-F35</f>
        <v>0</v>
      </c>
      <c r="G42" s="39">
        <f>F42+G34-G35</f>
        <v>0</v>
      </c>
      <c r="H42" s="303"/>
      <c r="I42" s="179"/>
      <c r="J42" s="179"/>
      <c r="K42" s="179"/>
      <c r="L42" s="179"/>
      <c r="M42" s="179"/>
      <c r="N42" s="179"/>
    </row>
    <row r="43" spans="1:14" s="198" customFormat="1" ht="14.4" customHeight="1" x14ac:dyDescent="0.3">
      <c r="A43" s="342" t="s">
        <v>296</v>
      </c>
      <c r="B43" s="326"/>
      <c r="C43" s="337"/>
      <c r="D43" s="34">
        <v>0</v>
      </c>
      <c r="E43" s="34">
        <v>0</v>
      </c>
      <c r="F43" s="34">
        <v>0</v>
      </c>
      <c r="G43" s="34">
        <v>0</v>
      </c>
      <c r="H43" s="179"/>
      <c r="I43" s="179"/>
      <c r="J43" s="179"/>
      <c r="K43" s="179"/>
      <c r="L43" s="179"/>
      <c r="M43" s="179"/>
      <c r="N43" s="179"/>
    </row>
    <row r="44" spans="1:14" s="198" customFormat="1" ht="14.4" customHeight="1" x14ac:dyDescent="0.3">
      <c r="A44" s="342" t="s">
        <v>297</v>
      </c>
      <c r="B44" s="326"/>
      <c r="C44" s="337"/>
      <c r="D44" s="34">
        <v>0</v>
      </c>
      <c r="E44" s="34">
        <v>0</v>
      </c>
      <c r="F44" s="34">
        <v>0</v>
      </c>
      <c r="G44" s="34">
        <v>0</v>
      </c>
      <c r="H44" s="179"/>
      <c r="I44" s="179"/>
      <c r="J44" s="179"/>
      <c r="K44" s="179"/>
      <c r="L44" s="179"/>
      <c r="M44" s="179"/>
      <c r="N44" s="179"/>
    </row>
    <row r="45" spans="1:14" s="198" customFormat="1" ht="14.4" customHeight="1" x14ac:dyDescent="0.3">
      <c r="A45" s="342" t="s">
        <v>298</v>
      </c>
      <c r="B45" s="326"/>
      <c r="C45" s="337"/>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3"/>
      <c r="B46" s="299"/>
      <c r="C46" s="201"/>
      <c r="D46" s="202"/>
      <c r="E46" s="203"/>
      <c r="F46" s="203"/>
      <c r="G46" s="203"/>
      <c r="H46" s="179"/>
      <c r="I46" s="179"/>
      <c r="J46" s="179"/>
      <c r="K46" s="179"/>
      <c r="L46" s="179"/>
      <c r="M46" s="179"/>
      <c r="N46" s="179"/>
    </row>
    <row r="47" spans="1:14" s="198" customFormat="1" ht="14.4" customHeight="1" x14ac:dyDescent="0.3">
      <c r="A47" s="303"/>
      <c r="B47" s="299"/>
      <c r="C47" s="201"/>
      <c r="D47" s="202"/>
      <c r="E47" s="203"/>
      <c r="F47" s="203"/>
      <c r="G47" s="203"/>
      <c r="H47" s="179"/>
      <c r="I47" s="179"/>
      <c r="J47" s="179"/>
      <c r="K47" s="179"/>
      <c r="L47" s="179"/>
      <c r="M47" s="179"/>
      <c r="N47" s="179"/>
    </row>
    <row r="48" spans="1:14" s="198" customFormat="1" ht="14.4" customHeight="1" x14ac:dyDescent="0.3">
      <c r="A48" s="303"/>
      <c r="B48" s="299"/>
      <c r="C48" s="201"/>
      <c r="D48" s="202"/>
      <c r="E48" s="203"/>
      <c r="F48" s="203"/>
      <c r="G48" s="203"/>
      <c r="H48" s="179"/>
      <c r="I48" s="179"/>
      <c r="J48" s="179"/>
      <c r="K48" s="179"/>
      <c r="L48" s="179"/>
      <c r="M48" s="179"/>
      <c r="N48" s="179"/>
    </row>
    <row r="49" spans="1:14" s="198" customFormat="1" ht="14.4" customHeight="1" x14ac:dyDescent="0.3">
      <c r="A49" s="303"/>
      <c r="B49" s="299"/>
      <c r="C49" s="201"/>
      <c r="D49" s="202"/>
      <c r="E49" s="203"/>
      <c r="F49" s="203"/>
      <c r="G49" s="203"/>
      <c r="H49" s="179"/>
      <c r="I49" s="179"/>
      <c r="J49" s="179"/>
      <c r="K49" s="179"/>
      <c r="L49" s="179"/>
      <c r="M49" s="179"/>
      <c r="N49" s="179"/>
    </row>
    <row r="50" spans="1:14" s="198" customFormat="1" ht="14.4" customHeight="1" x14ac:dyDescent="0.3">
      <c r="A50" s="303"/>
      <c r="B50" s="299"/>
      <c r="C50" s="201"/>
      <c r="D50" s="202"/>
      <c r="E50" s="203"/>
      <c r="F50" s="203"/>
      <c r="G50" s="203"/>
      <c r="H50" s="179"/>
      <c r="I50" s="179"/>
      <c r="J50" s="179"/>
      <c r="K50" s="179"/>
      <c r="L50" s="179"/>
      <c r="M50" s="179"/>
      <c r="N50" s="179"/>
    </row>
    <row r="51" spans="1:14" s="198" customFormat="1" ht="14.4" customHeight="1" x14ac:dyDescent="0.3">
      <c r="A51" s="303"/>
      <c r="B51" s="299"/>
      <c r="C51" s="201"/>
      <c r="D51" s="202"/>
      <c r="E51" s="203"/>
      <c r="F51" s="203"/>
      <c r="G51" s="203"/>
      <c r="H51" s="179"/>
      <c r="I51" s="179"/>
      <c r="J51" s="179"/>
      <c r="K51" s="179"/>
      <c r="L51" s="179"/>
      <c r="M51" s="179"/>
      <c r="N51" s="179"/>
    </row>
    <row r="52" spans="1:14" s="198" customFormat="1" ht="14.4" customHeight="1" x14ac:dyDescent="0.3">
      <c r="A52" s="303"/>
      <c r="B52" s="299"/>
      <c r="C52" s="201"/>
      <c r="D52" s="202"/>
      <c r="E52" s="203"/>
      <c r="F52" s="203"/>
      <c r="G52" s="203"/>
      <c r="H52" s="179"/>
      <c r="I52" s="179"/>
      <c r="J52" s="179"/>
      <c r="K52" s="179"/>
      <c r="L52" s="179"/>
      <c r="M52" s="179"/>
      <c r="N52" s="179"/>
    </row>
    <row r="53" spans="1:14" s="198" customFormat="1" ht="14.4" customHeight="1" x14ac:dyDescent="0.3">
      <c r="A53" s="303"/>
      <c r="B53" s="299"/>
      <c r="C53" s="201"/>
      <c r="D53" s="202"/>
      <c r="E53" s="203"/>
      <c r="F53" s="203"/>
      <c r="G53" s="203"/>
      <c r="H53" s="179"/>
      <c r="I53" s="179"/>
      <c r="J53" s="179"/>
      <c r="K53" s="179"/>
      <c r="L53" s="179"/>
      <c r="M53" s="179"/>
      <c r="N53" s="179"/>
    </row>
    <row r="54" spans="1:14" s="198" customFormat="1" ht="14.4" customHeight="1" x14ac:dyDescent="0.3">
      <c r="A54" s="303"/>
      <c r="B54" s="299"/>
      <c r="C54" s="201"/>
      <c r="D54" s="202"/>
      <c r="E54" s="203"/>
      <c r="F54" s="203"/>
      <c r="G54" s="203"/>
      <c r="H54" s="179"/>
      <c r="I54" s="179"/>
      <c r="J54" s="179"/>
      <c r="K54" s="179"/>
      <c r="L54" s="179"/>
      <c r="M54" s="179"/>
      <c r="N54" s="179"/>
    </row>
    <row r="55" spans="1:14" s="198" customFormat="1" ht="14.4" customHeight="1" x14ac:dyDescent="0.3">
      <c r="A55" s="303"/>
      <c r="B55" s="299"/>
      <c r="C55" s="201"/>
      <c r="D55" s="202"/>
      <c r="E55" s="203"/>
      <c r="F55" s="203"/>
      <c r="G55" s="203"/>
      <c r="H55" s="179"/>
      <c r="I55" s="179"/>
      <c r="J55" s="179"/>
      <c r="K55" s="179"/>
      <c r="L55" s="179"/>
      <c r="M55" s="179"/>
      <c r="N55" s="179"/>
    </row>
    <row r="56" spans="1:14" s="198" customFormat="1" ht="14.4" customHeight="1" x14ac:dyDescent="0.3">
      <c r="A56" s="303"/>
      <c r="B56" s="299"/>
      <c r="C56" s="201"/>
      <c r="D56" s="202"/>
      <c r="E56" s="203"/>
      <c r="F56" s="203"/>
      <c r="G56" s="203"/>
      <c r="H56" s="179"/>
      <c r="I56" s="179"/>
      <c r="J56" s="179"/>
      <c r="K56" s="179"/>
      <c r="L56" s="179"/>
      <c r="M56" s="179"/>
      <c r="N56" s="179"/>
    </row>
    <row r="57" spans="1:14" s="198" customFormat="1" ht="14.4" customHeight="1" x14ac:dyDescent="0.3">
      <c r="A57" s="303"/>
      <c r="B57" s="299"/>
      <c r="C57" s="201"/>
      <c r="D57" s="202"/>
      <c r="E57" s="203"/>
      <c r="F57" s="203"/>
      <c r="G57" s="203"/>
      <c r="H57" s="179"/>
      <c r="I57" s="179"/>
      <c r="J57" s="179"/>
      <c r="K57" s="179"/>
      <c r="L57" s="179"/>
      <c r="M57" s="179"/>
      <c r="N57" s="179"/>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2" workbookViewId="0">
      <selection activeCell="I18" sqref="I18"/>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0" t="s">
        <v>299</v>
      </c>
      <c r="B1" s="361"/>
      <c r="C1" s="359"/>
      <c r="D1" s="359"/>
      <c r="E1" s="358"/>
      <c r="F1" s="359"/>
      <c r="G1" s="359"/>
      <c r="H1" s="358"/>
      <c r="I1" s="358"/>
    </row>
    <row r="2" spans="1:9" x14ac:dyDescent="0.3">
      <c r="A2" s="117"/>
      <c r="B2" s="113"/>
      <c r="C2" s="130"/>
      <c r="D2" s="130"/>
      <c r="E2" s="130"/>
      <c r="F2" s="130"/>
      <c r="G2" s="130"/>
      <c r="H2" s="130"/>
      <c r="I2" s="130"/>
    </row>
    <row r="3" spans="1:9" x14ac:dyDescent="0.3">
      <c r="A3" s="364" t="s">
        <v>300</v>
      </c>
      <c r="B3" s="363" t="s">
        <v>301</v>
      </c>
      <c r="C3" s="362" t="s">
        <v>302</v>
      </c>
      <c r="D3" s="337"/>
      <c r="E3" s="362" t="s">
        <v>303</v>
      </c>
      <c r="F3" s="362" t="s">
        <v>304</v>
      </c>
      <c r="G3" s="337"/>
      <c r="H3" s="362" t="s">
        <v>305</v>
      </c>
      <c r="I3" s="362" t="s">
        <v>306</v>
      </c>
    </row>
    <row r="4" spans="1:9" ht="69" customHeight="1" x14ac:dyDescent="0.3">
      <c r="A4" s="348"/>
      <c r="B4" s="348"/>
      <c r="C4" s="304" t="s">
        <v>307</v>
      </c>
      <c r="D4" s="304" t="s">
        <v>308</v>
      </c>
      <c r="E4" s="348"/>
      <c r="F4" s="304" t="s">
        <v>309</v>
      </c>
      <c r="G4" s="304" t="s">
        <v>310</v>
      </c>
      <c r="H4" s="348"/>
      <c r="I4" s="348"/>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434974.61</v>
      </c>
      <c r="D23" s="137"/>
      <c r="E23" s="137"/>
      <c r="F23" s="137"/>
      <c r="G23" s="137"/>
      <c r="H23" s="137"/>
      <c r="I23" s="137"/>
    </row>
    <row r="24" spans="1:9" x14ac:dyDescent="0.3">
      <c r="A24" s="85" t="s">
        <v>344</v>
      </c>
      <c r="B24" s="85" t="s">
        <v>345</v>
      </c>
      <c r="C24" s="250">
        <f>H18</f>
        <v>67166.540000000008</v>
      </c>
      <c r="D24" s="137"/>
      <c r="E24" s="137"/>
      <c r="F24" s="137"/>
      <c r="G24" s="137"/>
      <c r="H24" s="137"/>
      <c r="I24" s="137"/>
    </row>
    <row r="25" spans="1:9" x14ac:dyDescent="0.3">
      <c r="A25" s="85" t="s">
        <v>346</v>
      </c>
      <c r="B25" s="85" t="s">
        <v>347</v>
      </c>
      <c r="C25" s="250">
        <f>C23-C24</f>
        <v>367808.06999999995</v>
      </c>
      <c r="D25" s="137"/>
      <c r="E25" s="137"/>
      <c r="F25" s="137"/>
      <c r="G25" s="137"/>
      <c r="H25" s="137"/>
      <c r="I25" s="137"/>
    </row>
    <row r="26" spans="1:9" x14ac:dyDescent="0.3">
      <c r="A26" s="85" t="s">
        <v>348</v>
      </c>
      <c r="B26" s="89" t="s">
        <v>349</v>
      </c>
      <c r="C26" s="249">
        <f>SUM(C27:C28)</f>
        <v>232680.17</v>
      </c>
      <c r="D26" s="137"/>
      <c r="E26" s="137"/>
      <c r="F26" s="137"/>
      <c r="G26" s="137"/>
      <c r="H26" s="137"/>
      <c r="I26" s="137"/>
    </row>
    <row r="27" spans="1:9" x14ac:dyDescent="0.3">
      <c r="A27" s="85" t="s">
        <v>350</v>
      </c>
      <c r="B27" s="85" t="s">
        <v>351</v>
      </c>
      <c r="C27" s="138">
        <v>165513.63</v>
      </c>
      <c r="D27" s="357" t="str">
        <f>IF(C27&lt;C25*0.1,"!!! Contribuția la cheltuielile eligibile nu este de minimum 10%","")</f>
        <v/>
      </c>
      <c r="E27" s="358"/>
      <c r="F27" s="359"/>
      <c r="G27" s="359"/>
      <c r="H27" s="358"/>
      <c r="I27" s="358"/>
    </row>
    <row r="28" spans="1:9" x14ac:dyDescent="0.3">
      <c r="A28" s="85" t="s">
        <v>352</v>
      </c>
      <c r="B28" s="85" t="s">
        <v>353</v>
      </c>
      <c r="C28" s="250">
        <f>H18</f>
        <v>67166.540000000008</v>
      </c>
      <c r="D28" s="137"/>
      <c r="E28" s="137"/>
      <c r="F28" s="137"/>
      <c r="G28" s="137"/>
      <c r="H28" s="137"/>
      <c r="I28" s="137"/>
    </row>
    <row r="29" spans="1:9" x14ac:dyDescent="0.3">
      <c r="A29" s="85" t="s">
        <v>354</v>
      </c>
      <c r="B29" s="89" t="s">
        <v>355</v>
      </c>
      <c r="C29" s="249">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67" workbookViewId="0">
      <selection activeCell="E86" sqref="E86"/>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6" t="s">
        <v>356</v>
      </c>
      <c r="B1" s="368"/>
      <c r="C1" s="369"/>
      <c r="D1" s="370"/>
      <c r="E1" s="370"/>
      <c r="F1" s="370"/>
      <c r="G1" s="370"/>
    </row>
    <row r="2" spans="1:13" x14ac:dyDescent="0.3">
      <c r="A2" s="302"/>
      <c r="B2" s="141"/>
      <c r="C2" s="125"/>
      <c r="D2" s="125"/>
      <c r="E2" s="125"/>
      <c r="F2" s="125"/>
      <c r="G2" s="125"/>
    </row>
    <row r="3" spans="1:13" ht="189" customHeight="1" x14ac:dyDescent="0.3">
      <c r="A3" s="93"/>
      <c r="B3" s="372" t="s">
        <v>357</v>
      </c>
      <c r="C3" s="369"/>
      <c r="D3" s="370"/>
      <c r="E3" s="370"/>
      <c r="F3" s="370"/>
      <c r="G3" s="370"/>
      <c r="H3" s="370"/>
      <c r="I3" s="370"/>
      <c r="J3" s="370"/>
      <c r="K3" s="370"/>
      <c r="L3" s="370"/>
      <c r="M3" s="370"/>
    </row>
    <row r="4" spans="1:13" s="90" customFormat="1" ht="14.4" customHeight="1" x14ac:dyDescent="0.3">
      <c r="A4" s="377" t="s">
        <v>358</v>
      </c>
      <c r="B4" s="378"/>
      <c r="C4" s="378"/>
      <c r="D4" s="378"/>
      <c r="E4" s="378"/>
      <c r="F4" s="378"/>
      <c r="G4" s="378"/>
    </row>
    <row r="5" spans="1:13" s="90" customFormat="1" ht="14.4" customHeight="1" x14ac:dyDescent="0.3">
      <c r="A5" s="374" t="s">
        <v>359</v>
      </c>
      <c r="B5" s="373"/>
      <c r="C5" s="375" t="s">
        <v>286</v>
      </c>
      <c r="D5" s="376" t="s">
        <v>360</v>
      </c>
      <c r="E5" s="326"/>
      <c r="F5" s="326"/>
      <c r="G5" s="337"/>
    </row>
    <row r="6" spans="1:13" s="90" customFormat="1" ht="30.6" customHeight="1" x14ac:dyDescent="0.3">
      <c r="A6" s="348"/>
      <c r="B6" s="348"/>
      <c r="C6" s="348"/>
      <c r="D6" s="266" t="s">
        <v>361</v>
      </c>
      <c r="E6" s="305" t="s">
        <v>362</v>
      </c>
      <c r="F6" s="305" t="s">
        <v>363</v>
      </c>
      <c r="G6" s="305" t="s">
        <v>364</v>
      </c>
    </row>
    <row r="7" spans="1:13" s="90" customFormat="1" ht="14.4" customHeight="1" x14ac:dyDescent="0.3">
      <c r="A7" s="367" t="s">
        <v>365</v>
      </c>
      <c r="B7" s="326"/>
      <c r="C7" s="326"/>
      <c r="D7" s="326"/>
      <c r="E7" s="326"/>
      <c r="F7" s="326"/>
      <c r="G7" s="337"/>
    </row>
    <row r="8" spans="1:13" s="90" customFormat="1" ht="14.4" customHeight="1" x14ac:dyDescent="0.3">
      <c r="A8" s="366" t="s">
        <v>366</v>
      </c>
      <c r="B8" s="326"/>
      <c r="C8" s="326"/>
      <c r="D8" s="326"/>
      <c r="E8" s="326"/>
      <c r="F8" s="326"/>
      <c r="G8" s="337"/>
    </row>
    <row r="9" spans="1:13" s="90" customFormat="1" ht="14.4" customHeight="1" x14ac:dyDescent="0.3">
      <c r="A9" s="4">
        <v>1</v>
      </c>
      <c r="B9" s="306" t="s">
        <v>367</v>
      </c>
      <c r="C9" s="128">
        <f>SUM(D9:G9)</f>
        <v>0</v>
      </c>
      <c r="D9" s="127">
        <f>D10*D11</f>
        <v>0</v>
      </c>
      <c r="E9" s="127">
        <f>E10*E11</f>
        <v>0</v>
      </c>
      <c r="F9" s="127">
        <f>F10*F11</f>
        <v>0</v>
      </c>
      <c r="G9" s="127">
        <f>G10*G11</f>
        <v>0</v>
      </c>
    </row>
    <row r="10" spans="1:13" s="91" customFormat="1" ht="14.4" customHeight="1" x14ac:dyDescent="0.3">
      <c r="A10" s="5"/>
      <c r="B10" s="306" t="s">
        <v>368</v>
      </c>
      <c r="C10" s="128"/>
      <c r="D10" s="126">
        <v>0</v>
      </c>
      <c r="E10" s="126">
        <v>0</v>
      </c>
      <c r="F10" s="126">
        <v>0</v>
      </c>
      <c r="G10" s="126">
        <v>0</v>
      </c>
    </row>
    <row r="11" spans="1:13" s="91" customFormat="1" ht="14.4" customHeight="1" x14ac:dyDescent="0.3">
      <c r="A11" s="5"/>
      <c r="B11" s="306" t="s">
        <v>369</v>
      </c>
      <c r="C11" s="128"/>
      <c r="D11" s="126">
        <v>0</v>
      </c>
      <c r="E11" s="126">
        <v>0</v>
      </c>
      <c r="F11" s="126">
        <v>0</v>
      </c>
      <c r="G11" s="126">
        <v>0</v>
      </c>
    </row>
    <row r="12" spans="1:13" s="90" customFormat="1" ht="14.4" customHeight="1" x14ac:dyDescent="0.3">
      <c r="A12" s="4">
        <v>2</v>
      </c>
      <c r="B12" s="306" t="s">
        <v>370</v>
      </c>
      <c r="C12" s="128">
        <f>SUM(D12:G12)</f>
        <v>0</v>
      </c>
      <c r="D12" s="127">
        <f>D13*D14</f>
        <v>0</v>
      </c>
      <c r="E12" s="127">
        <f>E13*E14</f>
        <v>0</v>
      </c>
      <c r="F12" s="127">
        <f>F13*F14</f>
        <v>0</v>
      </c>
      <c r="G12" s="127">
        <f>G13*G14</f>
        <v>0</v>
      </c>
    </row>
    <row r="13" spans="1:13" s="91" customFormat="1" ht="14.4" customHeight="1" x14ac:dyDescent="0.3">
      <c r="A13" s="5"/>
      <c r="B13" s="306" t="s">
        <v>371</v>
      </c>
      <c r="C13" s="128"/>
      <c r="D13" s="126"/>
      <c r="E13" s="126"/>
      <c r="F13" s="126"/>
      <c r="G13" s="126"/>
      <c r="K13" s="236"/>
    </row>
    <row r="14" spans="1:13" s="91" customFormat="1" ht="14.4" customHeight="1" x14ac:dyDescent="0.3">
      <c r="A14" s="5"/>
      <c r="B14" s="306" t="s">
        <v>372</v>
      </c>
      <c r="C14" s="128"/>
      <c r="D14" s="126">
        <f>'1B-ContPP'!D13*1.03*1.19</f>
        <v>0</v>
      </c>
      <c r="E14" s="126">
        <f>D14*1.03</f>
        <v>0</v>
      </c>
      <c r="F14" s="126">
        <f>E14</f>
        <v>0</v>
      </c>
      <c r="G14" s="126">
        <f>F14</f>
        <v>0</v>
      </c>
    </row>
    <row r="15" spans="1:13" s="90" customFormat="1" ht="14.4" customHeight="1" x14ac:dyDescent="0.3">
      <c r="A15" s="4">
        <v>3</v>
      </c>
      <c r="B15" s="306"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6" t="s">
        <v>374</v>
      </c>
      <c r="C16" s="128"/>
      <c r="D16" s="126">
        <v>1</v>
      </c>
      <c r="E16" s="126">
        <v>1</v>
      </c>
      <c r="F16" s="126">
        <v>1</v>
      </c>
      <c r="G16" s="126">
        <v>1</v>
      </c>
    </row>
    <row r="17" spans="1:7" s="91" customFormat="1" ht="14.4" customHeight="1" x14ac:dyDescent="0.3">
      <c r="A17" s="5"/>
      <c r="B17" s="306"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11"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7" t="s">
        <v>377</v>
      </c>
      <c r="B19" s="326"/>
      <c r="C19" s="326"/>
      <c r="D19" s="326"/>
      <c r="E19" s="326"/>
      <c r="F19" s="326"/>
      <c r="G19" s="337"/>
    </row>
    <row r="20" spans="1:7" s="92" customFormat="1" ht="14.4" customHeight="1" x14ac:dyDescent="0.3">
      <c r="A20" s="366" t="s">
        <v>378</v>
      </c>
      <c r="B20" s="326"/>
      <c r="C20" s="326"/>
      <c r="D20" s="326"/>
      <c r="E20" s="326"/>
      <c r="F20" s="326"/>
      <c r="G20" s="337"/>
    </row>
    <row r="21" spans="1:7" s="90" customFormat="1" ht="24" customHeight="1" x14ac:dyDescent="0.3">
      <c r="A21" s="4">
        <v>5</v>
      </c>
      <c r="B21" s="6" t="s">
        <v>379</v>
      </c>
      <c r="C21" s="128">
        <f>SUM(D21:G21)</f>
        <v>912616.57729200006</v>
      </c>
      <c r="D21" s="127">
        <f>SUM(D22*D23)+SUM(D24*D25)</f>
        <v>224782.40820000001</v>
      </c>
      <c r="E21" s="127">
        <f>SUM(E22*E23)+SUM(E24*E25)</f>
        <v>227030.23228200001</v>
      </c>
      <c r="F21" s="127">
        <f>SUM(F22*F23)+SUM(F24*F25)</f>
        <v>229278.05636400002</v>
      </c>
      <c r="G21" s="127">
        <f>SUM(G22*G23)+SUM(G24*G25)</f>
        <v>231525.88044600002</v>
      </c>
    </row>
    <row r="22" spans="1:7" s="92" customFormat="1" ht="14.4" customHeight="1" x14ac:dyDescent="0.3">
      <c r="A22" s="4"/>
      <c r="B22" s="306" t="s">
        <v>380</v>
      </c>
      <c r="C22" s="128"/>
      <c r="D22" s="126">
        <v>1</v>
      </c>
      <c r="E22" s="126">
        <v>1</v>
      </c>
      <c r="F22" s="126">
        <v>1</v>
      </c>
      <c r="G22" s="126">
        <v>1</v>
      </c>
    </row>
    <row r="23" spans="1:7" s="92" customFormat="1" ht="14.4" customHeight="1" x14ac:dyDescent="0.3">
      <c r="A23" s="4"/>
      <c r="B23" s="306" t="s">
        <v>381</v>
      </c>
      <c r="C23" s="128"/>
      <c r="D23" s="126">
        <f>('1B-ContPP'!C14 +'1B-ContPP'!C15)*1.19*0.02 + ('1B-ContPP'!C14 +'1B-ContPP'!C15)*1.19</f>
        <v>224782.40820000001</v>
      </c>
      <c r="E23" s="126">
        <f>D23*0.01 + D23</f>
        <v>227030.23228200001</v>
      </c>
      <c r="F23" s="126">
        <f>D23*0.01 +E23</f>
        <v>229278.05636400002</v>
      </c>
      <c r="G23" s="126">
        <f>D23*0.01 +F23</f>
        <v>231525.88044600002</v>
      </c>
    </row>
    <row r="24" spans="1:7" s="92" customFormat="1" ht="14.4" customHeight="1" x14ac:dyDescent="0.3">
      <c r="A24" s="4"/>
      <c r="B24" s="306" t="s">
        <v>382</v>
      </c>
      <c r="C24" s="128"/>
      <c r="D24" s="126">
        <v>1</v>
      </c>
      <c r="E24" s="126">
        <v>1</v>
      </c>
      <c r="F24" s="126">
        <v>1</v>
      </c>
      <c r="G24" s="126">
        <v>1</v>
      </c>
    </row>
    <row r="25" spans="1:7" s="92" customFormat="1" ht="14.4" customHeight="1" x14ac:dyDescent="0.3">
      <c r="A25" s="4"/>
      <c r="B25" s="306" t="s">
        <v>383</v>
      </c>
      <c r="C25" s="128"/>
      <c r="D25" s="126">
        <v>0</v>
      </c>
      <c r="E25" s="126">
        <f>D25*1.05</f>
        <v>0</v>
      </c>
      <c r="F25" s="126">
        <f>E25*1.05</f>
        <v>0</v>
      </c>
      <c r="G25" s="126">
        <f>F25*1.05</f>
        <v>0</v>
      </c>
    </row>
    <row r="26" spans="1:7" s="90" customFormat="1" ht="14.4" customHeight="1" x14ac:dyDescent="0.3">
      <c r="A26" s="4">
        <v>6</v>
      </c>
      <c r="B26" s="6" t="s">
        <v>384</v>
      </c>
      <c r="C26" s="128">
        <f>SUM(D26:G26)</f>
        <v>6552706.631351999</v>
      </c>
      <c r="D26" s="127">
        <f>D27*D28</f>
        <v>1590462.7745999999</v>
      </c>
      <c r="E26" s="127">
        <f>E27*E28</f>
        <v>1622272.0300919998</v>
      </c>
      <c r="F26" s="127">
        <f>F27*F28</f>
        <v>1654081.2855839997</v>
      </c>
      <c r="G26" s="127">
        <f>G27*G28</f>
        <v>1685890.5410759996</v>
      </c>
    </row>
    <row r="27" spans="1:7" s="92" customFormat="1" ht="14.4" customHeight="1" x14ac:dyDescent="0.3">
      <c r="A27" s="4"/>
      <c r="B27" s="306" t="s">
        <v>374</v>
      </c>
      <c r="C27" s="128"/>
      <c r="D27" s="126">
        <v>1</v>
      </c>
      <c r="E27" s="126">
        <v>1</v>
      </c>
      <c r="F27" s="126">
        <v>1</v>
      </c>
      <c r="G27" s="126">
        <v>1</v>
      </c>
    </row>
    <row r="28" spans="1:7" s="92" customFormat="1" ht="14.4" customHeight="1" x14ac:dyDescent="0.3">
      <c r="A28" s="4"/>
      <c r="B28" s="306" t="s">
        <v>385</v>
      </c>
      <c r="C28" s="128"/>
      <c r="D28" s="126">
        <f>'1B-ContPP'!C17*1.19*0.02 + '1B-ContPP'!C17*1.19</f>
        <v>1590462.7745999999</v>
      </c>
      <c r="E28" s="126">
        <f>D28*0.02 + D28</f>
        <v>1622272.0300919998</v>
      </c>
      <c r="F28" s="126">
        <f>D28*0.02+E28</f>
        <v>1654081.2855839997</v>
      </c>
      <c r="G28" s="126">
        <f>D28*0.02 +F28</f>
        <v>1685890.5410759996</v>
      </c>
    </row>
    <row r="29" spans="1:7" s="92" customFormat="1" ht="24" customHeight="1" x14ac:dyDescent="0.3">
      <c r="A29" s="4">
        <v>7</v>
      </c>
      <c r="B29" s="306" t="s">
        <v>386</v>
      </c>
      <c r="C29" s="128">
        <f>SUM(D29:G29)</f>
        <v>0</v>
      </c>
      <c r="D29" s="126">
        <v>0</v>
      </c>
      <c r="E29" s="126">
        <f>D29*1.01</f>
        <v>0</v>
      </c>
      <c r="F29" s="126">
        <f>E29*1.01</f>
        <v>0</v>
      </c>
      <c r="G29" s="126">
        <f>F29*1.01</f>
        <v>0</v>
      </c>
    </row>
    <row r="30" spans="1:7" s="92" customFormat="1" ht="14.4" customHeight="1" x14ac:dyDescent="0.3">
      <c r="A30" s="4">
        <v>8</v>
      </c>
      <c r="B30" s="306"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6" t="s">
        <v>388</v>
      </c>
      <c r="C31" s="128"/>
      <c r="D31" s="126">
        <v>1</v>
      </c>
      <c r="E31" s="126">
        <v>1</v>
      </c>
      <c r="F31" s="126">
        <v>1</v>
      </c>
      <c r="G31" s="126">
        <v>1</v>
      </c>
    </row>
    <row r="32" spans="1:7" s="92" customFormat="1" ht="14.4" customHeight="1" x14ac:dyDescent="0.3">
      <c r="A32" s="4"/>
      <c r="B32" s="306"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6" t="s">
        <v>390</v>
      </c>
      <c r="C33" s="128">
        <f>SUM(D33:G33)</f>
        <v>0</v>
      </c>
      <c r="D33" s="127">
        <f>D34*D35</f>
        <v>0</v>
      </c>
      <c r="E33" s="127">
        <f>E34*E35</f>
        <v>0</v>
      </c>
      <c r="F33" s="127">
        <f>F34*F35</f>
        <v>0</v>
      </c>
      <c r="G33" s="127">
        <f>G34*G35</f>
        <v>0</v>
      </c>
    </row>
    <row r="34" spans="1:7" s="92" customFormat="1" ht="24" customHeight="1" x14ac:dyDescent="0.3">
      <c r="A34" s="4"/>
      <c r="B34" s="306" t="s">
        <v>388</v>
      </c>
      <c r="C34" s="128"/>
      <c r="D34" s="126">
        <v>0</v>
      </c>
      <c r="E34" s="126">
        <v>0</v>
      </c>
      <c r="F34" s="126">
        <v>0</v>
      </c>
      <c r="G34" s="126">
        <v>0</v>
      </c>
    </row>
    <row r="35" spans="1:7" s="92" customFormat="1" ht="14.4" customHeight="1" x14ac:dyDescent="0.3">
      <c r="A35" s="4"/>
      <c r="B35" s="306" t="s">
        <v>389</v>
      </c>
      <c r="C35" s="128"/>
      <c r="D35" s="126">
        <v>0</v>
      </c>
      <c r="E35" s="126">
        <v>0</v>
      </c>
      <c r="F35" s="126">
        <v>0</v>
      </c>
      <c r="G35" s="126">
        <v>0</v>
      </c>
    </row>
    <row r="36" spans="1:7" s="92" customFormat="1" ht="14.4" customHeight="1" x14ac:dyDescent="0.3">
      <c r="A36" s="4">
        <v>10</v>
      </c>
      <c r="B36" s="306" t="s">
        <v>391</v>
      </c>
      <c r="C36" s="128">
        <f>SUM(D36:G36)</f>
        <v>0</v>
      </c>
      <c r="D36" s="127">
        <f>D37*D38</f>
        <v>0</v>
      </c>
      <c r="E36" s="127">
        <f>E37*E38</f>
        <v>0</v>
      </c>
      <c r="F36" s="127">
        <f>F37*F38</f>
        <v>0</v>
      </c>
      <c r="G36" s="127">
        <f>G37*G38</f>
        <v>0</v>
      </c>
    </row>
    <row r="37" spans="1:7" s="92" customFormat="1" ht="24" customHeight="1" x14ac:dyDescent="0.3">
      <c r="A37" s="4"/>
      <c r="B37" s="306" t="s">
        <v>388</v>
      </c>
      <c r="C37" s="128"/>
      <c r="D37" s="126">
        <v>0</v>
      </c>
      <c r="E37" s="126">
        <v>0</v>
      </c>
      <c r="F37" s="126">
        <v>0</v>
      </c>
      <c r="G37" s="126">
        <v>0</v>
      </c>
    </row>
    <row r="38" spans="1:7" s="92" customFormat="1" ht="14.4" customHeight="1" x14ac:dyDescent="0.3">
      <c r="A38" s="4"/>
      <c r="B38" s="306" t="s">
        <v>389</v>
      </c>
      <c r="C38" s="128"/>
      <c r="D38" s="126">
        <v>0</v>
      </c>
      <c r="E38" s="126">
        <v>0</v>
      </c>
      <c r="F38" s="126">
        <v>0</v>
      </c>
      <c r="G38" s="126">
        <v>0</v>
      </c>
    </row>
    <row r="39" spans="1:7" s="90" customFormat="1" ht="14.4" customHeight="1" x14ac:dyDescent="0.3">
      <c r="A39" s="4"/>
      <c r="B39" s="311" t="s">
        <v>392</v>
      </c>
      <c r="C39" s="128">
        <f>SUM(D39:G39)</f>
        <v>7967104.1992639992</v>
      </c>
      <c r="D39" s="128">
        <f>D21+D26+D29+D30+D33+D36</f>
        <v>1938836.5597999999</v>
      </c>
      <c r="E39" s="128">
        <f>E21+E26+E29+E30+E33+E36</f>
        <v>1974129.5531439998</v>
      </c>
      <c r="F39" s="128">
        <f>F21+F26+F29+F30+F33+F36</f>
        <v>2009422.5464879998</v>
      </c>
      <c r="G39" s="128">
        <f>G21+G26+G29+G30+G33+G36</f>
        <v>2044715.5398319997</v>
      </c>
    </row>
    <row r="40" spans="1:7" s="90" customFormat="1" ht="14.4" customHeight="1" x14ac:dyDescent="0.3">
      <c r="A40" s="4">
        <v>11</v>
      </c>
      <c r="B40" s="306"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6" t="s">
        <v>394</v>
      </c>
      <c r="C41" s="128"/>
      <c r="D41" s="126">
        <v>1</v>
      </c>
      <c r="E41" s="126">
        <v>1</v>
      </c>
      <c r="F41" s="126">
        <v>1</v>
      </c>
      <c r="G41" s="126">
        <v>1</v>
      </c>
    </row>
    <row r="42" spans="1:7" s="90" customFormat="1" ht="14.4" customHeight="1" x14ac:dyDescent="0.3">
      <c r="A42" s="4"/>
      <c r="B42" s="306" t="s">
        <v>395</v>
      </c>
      <c r="C42" s="128"/>
      <c r="D42" s="126">
        <f>'1B-ContPP'!C19</f>
        <v>1095618</v>
      </c>
      <c r="E42" s="126">
        <f>D42*1</f>
        <v>1095618</v>
      </c>
      <c r="F42" s="126">
        <f>E42*1</f>
        <v>1095618</v>
      </c>
      <c r="G42" s="126">
        <f>F42*1</f>
        <v>1095618</v>
      </c>
    </row>
    <row r="43" spans="1:7" s="90" customFormat="1" ht="14.4" customHeight="1" x14ac:dyDescent="0.3">
      <c r="A43" s="4"/>
      <c r="B43" s="306"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11" t="s">
        <v>398</v>
      </c>
      <c r="C45" s="128">
        <f>SUM(D45:G45)</f>
        <v>4481077.62</v>
      </c>
      <c r="D45" s="213">
        <f>D40+D44</f>
        <v>1120269.405</v>
      </c>
      <c r="E45" s="213">
        <f>E40+E44</f>
        <v>1120269.405</v>
      </c>
      <c r="F45" s="213">
        <f>F40+F44</f>
        <v>1120269.405</v>
      </c>
      <c r="G45" s="213">
        <f>G40+G44</f>
        <v>1120269.405</v>
      </c>
    </row>
    <row r="46" spans="1:7" s="92" customFormat="1" ht="36" customHeight="1" x14ac:dyDescent="0.3">
      <c r="A46" s="4">
        <v>13</v>
      </c>
      <c r="B46" s="6" t="s">
        <v>399</v>
      </c>
      <c r="C46" s="128">
        <f>SUM(D46:G46)</f>
        <v>2417300.7856199997</v>
      </c>
      <c r="D46" s="126">
        <f>'1B-ContPP'!C22*1.19*0.02 + '1B-ContPP'!C22*1.19</f>
        <v>562162.9733999999</v>
      </c>
      <c r="E46" s="126">
        <f>D46*0.05 + D46</f>
        <v>590271.12206999992</v>
      </c>
      <c r="F46" s="126">
        <f>D46*0.05+E46</f>
        <v>618379.27073999995</v>
      </c>
      <c r="G46" s="126">
        <f>D46*0.05+F46</f>
        <v>646487.41940999997</v>
      </c>
    </row>
    <row r="47" spans="1:7" s="92" customFormat="1" ht="14.4" customHeight="1" x14ac:dyDescent="0.3">
      <c r="A47" s="4"/>
      <c r="B47" s="306" t="s">
        <v>400</v>
      </c>
      <c r="C47" s="128">
        <f>SUM(D47:G47)</f>
        <v>0</v>
      </c>
      <c r="D47" s="213">
        <f>D48*D49</f>
        <v>0</v>
      </c>
      <c r="E47" s="213">
        <f>E48*E49</f>
        <v>0</v>
      </c>
      <c r="F47" s="213">
        <f>F48*F49</f>
        <v>0</v>
      </c>
      <c r="G47" s="213">
        <f>G48*G49</f>
        <v>0</v>
      </c>
    </row>
    <row r="48" spans="1:7" s="92" customFormat="1" ht="14.4" customHeight="1" x14ac:dyDescent="0.3">
      <c r="A48" s="4"/>
      <c r="B48" s="306" t="s">
        <v>401</v>
      </c>
      <c r="C48" s="128"/>
      <c r="D48" s="126">
        <v>1</v>
      </c>
      <c r="E48" s="126">
        <v>1</v>
      </c>
      <c r="F48" s="126">
        <v>1</v>
      </c>
      <c r="G48" s="126">
        <v>1</v>
      </c>
    </row>
    <row r="49" spans="1:13" s="92" customFormat="1" ht="14.4" customHeight="1" x14ac:dyDescent="0.3">
      <c r="A49" s="4"/>
      <c r="B49" s="306" t="s">
        <v>372</v>
      </c>
      <c r="C49" s="128"/>
      <c r="D49" s="126">
        <v>0</v>
      </c>
      <c r="E49" s="126">
        <f>D49*1.01</f>
        <v>0</v>
      </c>
      <c r="F49" s="126">
        <f>E49*1.01</f>
        <v>0</v>
      </c>
      <c r="G49" s="126">
        <f>F49*1.01</f>
        <v>0</v>
      </c>
    </row>
    <row r="50" spans="1:13" ht="36" customHeight="1" x14ac:dyDescent="0.3">
      <c r="A50" s="7">
        <v>14</v>
      </c>
      <c r="B50" s="311" t="s">
        <v>402</v>
      </c>
      <c r="C50" s="128">
        <f t="shared" ref="C50:C57" si="0">SUM(D50:G50)</f>
        <v>180473.49600000001</v>
      </c>
      <c r="D50" s="126">
        <f>'1B-ContPP'!C36*0.02 +'1B-ContPP'!C36</f>
        <v>44451.6</v>
      </c>
      <c r="E50" s="126">
        <f>D50*0.01 + D50</f>
        <v>44896.116000000002</v>
      </c>
      <c r="F50" s="126">
        <f>D50*0.01 + E50</f>
        <v>45340.632000000005</v>
      </c>
      <c r="G50" s="126">
        <f>D50*0.01 + F50</f>
        <v>45785.148000000008</v>
      </c>
      <c r="H50" s="93"/>
      <c r="I50" s="93"/>
      <c r="J50" s="93"/>
      <c r="K50" s="93"/>
      <c r="L50" s="93"/>
      <c r="M50" s="93"/>
    </row>
    <row r="51" spans="1:13" ht="24" customHeight="1" x14ac:dyDescent="0.3">
      <c r="A51" s="7"/>
      <c r="B51" s="311" t="s">
        <v>403</v>
      </c>
      <c r="C51" s="128">
        <f t="shared" si="0"/>
        <v>15045956.100884002</v>
      </c>
      <c r="D51" s="127">
        <f>D39+D45+D46+D50</f>
        <v>3665720.5382000003</v>
      </c>
      <c r="E51" s="127">
        <f>E39+E45+E46+E50</f>
        <v>3729566.1962139998</v>
      </c>
      <c r="F51" s="127">
        <f>F39+F45+F46+F50</f>
        <v>3793411.8542280002</v>
      </c>
      <c r="G51" s="127">
        <f>G39+G45+G46+G50</f>
        <v>3857257.5122420001</v>
      </c>
      <c r="H51" s="93"/>
      <c r="I51" s="93"/>
      <c r="J51" s="93"/>
      <c r="K51" s="93"/>
      <c r="L51" s="93"/>
      <c r="M51" s="93"/>
    </row>
    <row r="52" spans="1:13" ht="24" customHeight="1" x14ac:dyDescent="0.3">
      <c r="A52" s="7"/>
      <c r="B52" s="311" t="s">
        <v>404</v>
      </c>
      <c r="C52" s="128">
        <f t="shared" si="0"/>
        <v>2165191.5451720017</v>
      </c>
      <c r="D52" s="127">
        <f>D18-D51</f>
        <v>573478.38939999975</v>
      </c>
      <c r="E52" s="127">
        <f>E18-E51</f>
        <v>552024.72066200059</v>
      </c>
      <c r="F52" s="127">
        <f>F18-F51</f>
        <v>530571.05192400049</v>
      </c>
      <c r="G52" s="127">
        <f>G18-G51</f>
        <v>509117.38318600086</v>
      </c>
      <c r="H52" s="93"/>
      <c r="I52" s="93"/>
      <c r="J52" s="93"/>
      <c r="K52" s="93"/>
      <c r="L52" s="93"/>
      <c r="M52" s="93"/>
    </row>
    <row r="53" spans="1:13" x14ac:dyDescent="0.3">
      <c r="A53" s="7">
        <v>15</v>
      </c>
      <c r="B53" s="8" t="s">
        <v>405</v>
      </c>
      <c r="C53" s="128">
        <f t="shared" si="0"/>
        <v>2216330.8855440002</v>
      </c>
      <c r="D53" s="126">
        <f>D18*0.19/1.19 -(D21+D29+D46)*0.19/1.19</f>
        <v>551200.14599999995</v>
      </c>
      <c r="E53" s="126">
        <f>E18*0.19/1.19 -(E21+E29+E46)*0.19/1.19</f>
        <v>553121.86292400002</v>
      </c>
      <c r="F53" s="126">
        <f>F18*0.19/1.19 -(F21+F29+F46)*0.19/1.19</f>
        <v>555043.57984800008</v>
      </c>
      <c r="G53" s="126">
        <f>G18*0.19/1.19 -(G21+G29+G46)*0.19/1.19</f>
        <v>556965.29677200015</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11" t="s">
        <v>408</v>
      </c>
      <c r="C56" s="128">
        <f t="shared" si="0"/>
        <v>2381673.8931285604</v>
      </c>
      <c r="D56" s="127">
        <f>D53-D54+D55</f>
        <v>586823.66639999999</v>
      </c>
      <c r="E56" s="127">
        <f>E53-E54+E55</f>
        <v>595937.77209276007</v>
      </c>
      <c r="F56" s="127">
        <f>F53-F54+F55</f>
        <v>598283.40890952013</v>
      </c>
      <c r="G56" s="127">
        <f>G53-G54+G55</f>
        <v>600629.04572628019</v>
      </c>
      <c r="H56" s="93"/>
      <c r="I56" s="93"/>
      <c r="J56" s="93"/>
      <c r="K56" s="93"/>
      <c r="L56" s="93"/>
      <c r="M56" s="93"/>
    </row>
    <row r="57" spans="1:13" s="92" customFormat="1" ht="24" customHeight="1" x14ac:dyDescent="0.3">
      <c r="A57" s="25"/>
      <c r="B57" s="311" t="s">
        <v>409</v>
      </c>
      <c r="C57" s="128">
        <f t="shared" si="0"/>
        <v>-216482.34795655869</v>
      </c>
      <c r="D57" s="128">
        <f>D52-D56</f>
        <v>-13345.277000000235</v>
      </c>
      <c r="E57" s="128">
        <f>E52-E56</f>
        <v>-43913.051430759486</v>
      </c>
      <c r="F57" s="128">
        <f>F52-F56</f>
        <v>-67712.35698551964</v>
      </c>
      <c r="G57" s="128">
        <f>G52-G56</f>
        <v>-91511.662540279329</v>
      </c>
    </row>
    <row r="58" spans="1:13" x14ac:dyDescent="0.3">
      <c r="A58" s="11"/>
      <c r="B58" s="306" t="s">
        <v>410</v>
      </c>
      <c r="C58" s="128">
        <f>'1A-Bilant'!D28</f>
        <v>0</v>
      </c>
      <c r="D58" s="127">
        <f>'1A-Bilant'!C28</f>
        <v>32762</v>
      </c>
      <c r="E58" s="127">
        <f>D59</f>
        <v>19416.722999999765</v>
      </c>
      <c r="F58" s="127">
        <f>E59</f>
        <v>-24496.328430759721</v>
      </c>
      <c r="G58" s="127">
        <f>F59</f>
        <v>-92208.685416279361</v>
      </c>
      <c r="H58" s="93"/>
      <c r="I58" s="93"/>
      <c r="J58" s="93"/>
      <c r="K58" s="93"/>
      <c r="L58" s="93"/>
      <c r="M58" s="93"/>
    </row>
    <row r="59" spans="1:13" x14ac:dyDescent="0.3">
      <c r="A59" s="9"/>
      <c r="B59" s="306" t="s">
        <v>411</v>
      </c>
      <c r="C59" s="128"/>
      <c r="D59" s="127">
        <f>D58+D57</f>
        <v>19416.722999999765</v>
      </c>
      <c r="E59" s="127">
        <f>E58+E57</f>
        <v>-24496.328430759721</v>
      </c>
      <c r="F59" s="127">
        <f>F58+F57</f>
        <v>-92208.685416279361</v>
      </c>
      <c r="G59" s="127">
        <f>G58+G57</f>
        <v>-183720.34795655869</v>
      </c>
      <c r="H59" s="93"/>
      <c r="I59" s="93"/>
      <c r="J59" s="93"/>
      <c r="K59" s="93"/>
      <c r="L59" s="93"/>
      <c r="M59" s="93"/>
    </row>
    <row r="60" spans="1:13" s="90" customFormat="1" ht="14.4" customHeight="1" x14ac:dyDescent="0.3">
      <c r="A60" s="379" t="s">
        <v>412</v>
      </c>
      <c r="B60" s="326"/>
      <c r="C60" s="326"/>
      <c r="D60" s="326"/>
      <c r="E60" s="326"/>
      <c r="F60" s="326"/>
      <c r="G60" s="326"/>
    </row>
    <row r="61" spans="1:13" s="90" customFormat="1" ht="14.4" customHeight="1" x14ac:dyDescent="0.3">
      <c r="A61" s="374" t="s">
        <v>359</v>
      </c>
      <c r="B61" s="373"/>
      <c r="C61" s="375" t="s">
        <v>286</v>
      </c>
      <c r="D61" s="376" t="s">
        <v>360</v>
      </c>
      <c r="E61" s="326"/>
      <c r="F61" s="326"/>
      <c r="G61" s="337"/>
    </row>
    <row r="62" spans="1:13" s="90" customFormat="1" ht="27" customHeight="1" x14ac:dyDescent="0.3">
      <c r="A62" s="348"/>
      <c r="B62" s="348"/>
      <c r="C62" s="348"/>
      <c r="D62" s="266" t="s">
        <v>361</v>
      </c>
      <c r="E62" s="305" t="s">
        <v>362</v>
      </c>
      <c r="F62" s="305" t="s">
        <v>363</v>
      </c>
      <c r="G62" s="305" t="s">
        <v>364</v>
      </c>
    </row>
    <row r="63" spans="1:13" s="90" customFormat="1" ht="14.4" customHeight="1" x14ac:dyDescent="0.3">
      <c r="A63" s="367" t="s">
        <v>413</v>
      </c>
      <c r="B63" s="326"/>
      <c r="C63" s="326"/>
      <c r="D63" s="326"/>
      <c r="E63" s="326"/>
      <c r="F63" s="326"/>
      <c r="G63" s="337"/>
    </row>
    <row r="64" spans="1:13" s="90" customFormat="1" ht="14.4" customHeight="1" x14ac:dyDescent="0.3">
      <c r="A64" s="366" t="s">
        <v>366</v>
      </c>
      <c r="B64" s="326"/>
      <c r="C64" s="326"/>
      <c r="D64" s="326"/>
      <c r="E64" s="326"/>
      <c r="F64" s="326"/>
      <c r="G64" s="337"/>
    </row>
    <row r="65" spans="1:9" s="90" customFormat="1" ht="14.4" customHeight="1" x14ac:dyDescent="0.3">
      <c r="A65" s="4">
        <v>1</v>
      </c>
      <c r="B65" s="306" t="s">
        <v>367</v>
      </c>
      <c r="C65" s="128">
        <f>SUM(D65:G65)</f>
        <v>0</v>
      </c>
      <c r="D65" s="127">
        <f>D66*D67</f>
        <v>0</v>
      </c>
      <c r="E65" s="127">
        <f>E66*E67</f>
        <v>0</v>
      </c>
      <c r="F65" s="127">
        <f>F66*F67</f>
        <v>0</v>
      </c>
      <c r="G65" s="127">
        <f>G66*G67</f>
        <v>0</v>
      </c>
    </row>
    <row r="66" spans="1:9" s="91" customFormat="1" ht="14.4" customHeight="1" x14ac:dyDescent="0.3">
      <c r="A66" s="5"/>
      <c r="B66" s="306" t="s">
        <v>368</v>
      </c>
      <c r="C66" s="128"/>
      <c r="D66" s="126">
        <v>0</v>
      </c>
      <c r="E66" s="126">
        <v>0</v>
      </c>
      <c r="F66" s="126">
        <v>0</v>
      </c>
      <c r="G66" s="126">
        <v>0</v>
      </c>
    </row>
    <row r="67" spans="1:9" s="91" customFormat="1" ht="14.4" customHeight="1" x14ac:dyDescent="0.3">
      <c r="A67" s="5"/>
      <c r="B67" s="306" t="s">
        <v>369</v>
      </c>
      <c r="C67" s="128"/>
      <c r="D67" s="126">
        <v>0</v>
      </c>
      <c r="E67" s="126">
        <v>0</v>
      </c>
      <c r="F67" s="126">
        <v>0</v>
      </c>
      <c r="G67" s="126">
        <v>0</v>
      </c>
      <c r="I67" s="236"/>
    </row>
    <row r="68" spans="1:9" s="90" customFormat="1" ht="14.4" customHeight="1" x14ac:dyDescent="0.3">
      <c r="A68" s="4">
        <v>2</v>
      </c>
      <c r="B68" s="306" t="s">
        <v>370</v>
      </c>
      <c r="C68" s="128">
        <f>SUM(D68:G68)</f>
        <v>0</v>
      </c>
      <c r="D68" s="127">
        <f>D69*D70</f>
        <v>0</v>
      </c>
      <c r="E68" s="127">
        <f>E69*E70</f>
        <v>0</v>
      </c>
      <c r="F68" s="127">
        <f>F69*F70</f>
        <v>0</v>
      </c>
      <c r="G68" s="127">
        <f>G69*G70</f>
        <v>0</v>
      </c>
    </row>
    <row r="69" spans="1:9" s="91" customFormat="1" ht="14.4" customHeight="1" x14ac:dyDescent="0.3">
      <c r="A69" s="5"/>
      <c r="B69" s="306" t="s">
        <v>371</v>
      </c>
      <c r="C69" s="128"/>
      <c r="D69" s="126">
        <v>1</v>
      </c>
      <c r="E69" s="126">
        <v>1</v>
      </c>
      <c r="F69" s="126">
        <v>1</v>
      </c>
      <c r="G69" s="126">
        <v>1</v>
      </c>
    </row>
    <row r="70" spans="1:9" s="91" customFormat="1" ht="14.4" customHeight="1" x14ac:dyDescent="0.3">
      <c r="A70" s="5"/>
      <c r="B70" s="306" t="s">
        <v>372</v>
      </c>
      <c r="C70" s="128"/>
      <c r="D70" s="126">
        <v>0</v>
      </c>
      <c r="E70" s="126">
        <v>0</v>
      </c>
      <c r="F70" s="126">
        <f>E70*1.02</f>
        <v>0</v>
      </c>
      <c r="G70" s="126">
        <f>F70*1.03</f>
        <v>0</v>
      </c>
    </row>
    <row r="71" spans="1:9" s="90" customFormat="1" ht="14.4" customHeight="1" x14ac:dyDescent="0.3">
      <c r="A71" s="4">
        <v>3</v>
      </c>
      <c r="B71" s="306" t="s">
        <v>373</v>
      </c>
      <c r="C71" s="128">
        <f>SUM(D71:G71)</f>
        <v>19029763.985996403</v>
      </c>
      <c r="D71" s="127">
        <f>D72*D73</f>
        <v>4239198.9276000001</v>
      </c>
      <c r="E71" s="127">
        <f>E72*E73</f>
        <v>4684314.8149979999</v>
      </c>
      <c r="F71" s="127">
        <f>F72*F73</f>
        <v>4947145.1485091997</v>
      </c>
      <c r="G71" s="127">
        <f>G72*G73</f>
        <v>5159105.0948891994</v>
      </c>
    </row>
    <row r="72" spans="1:9" s="91" customFormat="1" ht="14.4" customHeight="1" x14ac:dyDescent="0.3">
      <c r="A72" s="5"/>
      <c r="B72" s="306" t="s">
        <v>374</v>
      </c>
      <c r="C72" s="128"/>
      <c r="D72" s="126">
        <v>1</v>
      </c>
      <c r="E72" s="126">
        <v>1</v>
      </c>
      <c r="F72" s="126">
        <v>1</v>
      </c>
      <c r="G72" s="126">
        <v>1</v>
      </c>
    </row>
    <row r="73" spans="1:9" s="91" customFormat="1" ht="14.4" customHeight="1" x14ac:dyDescent="0.3">
      <c r="A73" s="5"/>
      <c r="B73" s="306" t="s">
        <v>375</v>
      </c>
      <c r="C73" s="128"/>
      <c r="D73" s="126">
        <f>D17</f>
        <v>4239198.9276000001</v>
      </c>
      <c r="E73" s="126">
        <f>D73*0.105+ D73</f>
        <v>4684314.8149979999</v>
      </c>
      <c r="F73" s="126">
        <f>D73*0.062+ E73</f>
        <v>4947145.1485091997</v>
      </c>
      <c r="G73" s="126">
        <f>D73*0.05+ F73</f>
        <v>5159105.0948891994</v>
      </c>
    </row>
    <row r="74" spans="1:9" s="92" customFormat="1" ht="24" customHeight="1" x14ac:dyDescent="0.3">
      <c r="A74" s="147"/>
      <c r="B74" s="311" t="s">
        <v>414</v>
      </c>
      <c r="C74" s="128">
        <f>SUM(D74:G74)</f>
        <v>19029763.985996403</v>
      </c>
      <c r="D74" s="128">
        <f>D65+D68+D71</f>
        <v>4239198.9276000001</v>
      </c>
      <c r="E74" s="128">
        <f>E65+E68+E71</f>
        <v>4684314.8149979999</v>
      </c>
      <c r="F74" s="128">
        <f>F65+F68+F71</f>
        <v>4947145.1485091997</v>
      </c>
      <c r="G74" s="128">
        <f>G65+G68+G71</f>
        <v>5159105.0948891994</v>
      </c>
    </row>
    <row r="75" spans="1:9" s="92" customFormat="1" ht="14.4" customHeight="1" x14ac:dyDescent="0.3">
      <c r="A75" s="367" t="s">
        <v>415</v>
      </c>
      <c r="B75" s="326"/>
      <c r="C75" s="326"/>
      <c r="D75" s="326"/>
      <c r="E75" s="326"/>
      <c r="F75" s="326"/>
      <c r="G75" s="337"/>
    </row>
    <row r="76" spans="1:9" s="92" customFormat="1" ht="14.4" customHeight="1" x14ac:dyDescent="0.3">
      <c r="A76" s="366" t="s">
        <v>378</v>
      </c>
      <c r="B76" s="326"/>
      <c r="C76" s="326"/>
      <c r="D76" s="326"/>
      <c r="E76" s="326"/>
      <c r="F76" s="326"/>
      <c r="G76" s="337"/>
    </row>
    <row r="77" spans="1:9" s="90" customFormat="1" ht="24" customHeight="1" x14ac:dyDescent="0.3">
      <c r="A77" s="4">
        <v>5</v>
      </c>
      <c r="B77" s="6" t="s">
        <v>379</v>
      </c>
      <c r="C77" s="128">
        <f>SUM(D77:G77)</f>
        <v>926103.5217840001</v>
      </c>
      <c r="D77" s="127">
        <f>SUM(D78*D79)+SUM(D80*D81)</f>
        <v>224782.40820000001</v>
      </c>
      <c r="E77" s="127">
        <f>SUM(E78*E79)+SUM(E80*E81)</f>
        <v>229278.05636400002</v>
      </c>
      <c r="F77" s="127">
        <f>SUM(F78*F79)+SUM(F80*F81)</f>
        <v>233773.70452800003</v>
      </c>
      <c r="G77" s="127">
        <f>SUM(G78*G79)+SUM(G80*G81)</f>
        <v>238269.35269200004</v>
      </c>
    </row>
    <row r="78" spans="1:9" s="92" customFormat="1" ht="14.4" customHeight="1" x14ac:dyDescent="0.3">
      <c r="A78" s="4"/>
      <c r="B78" s="306" t="s">
        <v>380</v>
      </c>
      <c r="C78" s="128"/>
      <c r="D78" s="126">
        <v>1</v>
      </c>
      <c r="E78" s="126">
        <v>1</v>
      </c>
      <c r="F78" s="126">
        <v>1</v>
      </c>
      <c r="G78" s="126">
        <v>1</v>
      </c>
    </row>
    <row r="79" spans="1:9" s="92" customFormat="1" ht="14.4" customHeight="1" x14ac:dyDescent="0.3">
      <c r="A79" s="4"/>
      <c r="B79" s="306" t="s">
        <v>381</v>
      </c>
      <c r="C79" s="128"/>
      <c r="D79" s="126">
        <f>D23</f>
        <v>224782.40820000001</v>
      </c>
      <c r="E79" s="126">
        <f>D79*0.02 + D79</f>
        <v>229278.05636400002</v>
      </c>
      <c r="F79" s="126">
        <f>D79*0.02+E79</f>
        <v>233773.70452800003</v>
      </c>
      <c r="G79" s="126">
        <f>D79*0.02+F79</f>
        <v>238269.35269200004</v>
      </c>
    </row>
    <row r="80" spans="1:9" s="92" customFormat="1" ht="14.4" customHeight="1" x14ac:dyDescent="0.3">
      <c r="A80" s="4"/>
      <c r="B80" s="306" t="s">
        <v>382</v>
      </c>
      <c r="C80" s="128"/>
      <c r="D80" s="126">
        <v>1</v>
      </c>
      <c r="E80" s="126">
        <v>1</v>
      </c>
      <c r="F80" s="126">
        <v>1</v>
      </c>
      <c r="G80" s="126">
        <v>1</v>
      </c>
    </row>
    <row r="81" spans="1:7" s="92" customFormat="1" ht="14.4" customHeight="1" x14ac:dyDescent="0.3">
      <c r="A81" s="4"/>
      <c r="B81" s="306"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6552706.631351999</v>
      </c>
      <c r="D82" s="127">
        <f>D83*D84</f>
        <v>1590462.7745999999</v>
      </c>
      <c r="E82" s="127">
        <f>E83*E84</f>
        <v>1622272.0300919998</v>
      </c>
      <c r="F82" s="127">
        <f>F83*F84</f>
        <v>1654081.2855839997</v>
      </c>
      <c r="G82" s="127">
        <f>G83*G84</f>
        <v>1685890.5410759996</v>
      </c>
    </row>
    <row r="83" spans="1:7" s="92" customFormat="1" ht="14.4" customHeight="1" x14ac:dyDescent="0.3">
      <c r="A83" s="4"/>
      <c r="B83" s="306" t="s">
        <v>374</v>
      </c>
      <c r="C83" s="128"/>
      <c r="D83" s="126">
        <v>1</v>
      </c>
      <c r="E83" s="126">
        <v>1</v>
      </c>
      <c r="F83" s="126">
        <v>1</v>
      </c>
      <c r="G83" s="126">
        <v>1</v>
      </c>
    </row>
    <row r="84" spans="1:7" s="92" customFormat="1" ht="14.4" customHeight="1" x14ac:dyDescent="0.3">
      <c r="A84" s="4"/>
      <c r="B84" s="306" t="s">
        <v>385</v>
      </c>
      <c r="C84" s="128"/>
      <c r="D84" s="126">
        <f>D28</f>
        <v>1590462.7745999999</v>
      </c>
      <c r="E84" s="126">
        <f>D84*0.02+ D84</f>
        <v>1622272.0300919998</v>
      </c>
      <c r="F84" s="126">
        <f>D84*0.02+E84</f>
        <v>1654081.2855839997</v>
      </c>
      <c r="G84" s="126">
        <f>D84*0.02+F84</f>
        <v>1685890.5410759996</v>
      </c>
    </row>
    <row r="85" spans="1:7" s="92" customFormat="1" ht="24" customHeight="1" x14ac:dyDescent="0.3">
      <c r="A85" s="4">
        <v>7</v>
      </c>
      <c r="B85" s="306" t="s">
        <v>386</v>
      </c>
      <c r="C85" s="128">
        <f>SUM(D85:G85)</f>
        <v>115272.67247999999</v>
      </c>
      <c r="D85" s="126">
        <f>'1B-ContPP'!C15*0.05*1.19 + '1B-ContPP'!C15*1.19</f>
        <v>27978.804</v>
      </c>
      <c r="E85" s="126">
        <f>D85*0.02 + D85</f>
        <v>28538.380079999999</v>
      </c>
      <c r="F85" s="126">
        <f>D85*0.02 + E85</f>
        <v>29097.956159999998</v>
      </c>
      <c r="G85" s="126">
        <f>D85*0.02 +F85</f>
        <v>29657.532239999997</v>
      </c>
    </row>
    <row r="86" spans="1:7" s="92" customFormat="1" ht="14.4" customHeight="1" x14ac:dyDescent="0.3">
      <c r="A86" s="4">
        <v>8</v>
      </c>
      <c r="B86" s="306" t="s">
        <v>387</v>
      </c>
      <c r="C86" s="128">
        <f>SUM(D86:G86)</f>
        <v>501780.99062</v>
      </c>
      <c r="D86" s="127">
        <f>D87*D88</f>
        <v>123591.37699999999</v>
      </c>
      <c r="E86" s="127">
        <f>E87*E88</f>
        <v>124827.29076999999</v>
      </c>
      <c r="F86" s="127">
        <f>F87*F88</f>
        <v>126063.20453999999</v>
      </c>
      <c r="G86" s="127">
        <f>G87*G88</f>
        <v>127299.11830999999</v>
      </c>
    </row>
    <row r="87" spans="1:7" s="92" customFormat="1" ht="24" customHeight="1" x14ac:dyDescent="0.3">
      <c r="A87" s="4"/>
      <c r="B87" s="306" t="s">
        <v>388</v>
      </c>
      <c r="C87" s="128"/>
      <c r="D87" s="126">
        <v>1</v>
      </c>
      <c r="E87" s="126">
        <v>1</v>
      </c>
      <c r="F87" s="126">
        <v>1</v>
      </c>
      <c r="G87" s="126">
        <v>1</v>
      </c>
    </row>
    <row r="88" spans="1:7" s="92" customFormat="1" ht="14.4" customHeight="1" x14ac:dyDescent="0.3">
      <c r="A88" s="4"/>
      <c r="B88" s="306" t="s">
        <v>389</v>
      </c>
      <c r="C88" s="128"/>
      <c r="D88" s="126">
        <f>D32</f>
        <v>123591.37699999999</v>
      </c>
      <c r="E88" s="126">
        <f>D88*0.01 +D88</f>
        <v>124827.29076999999</v>
      </c>
      <c r="F88" s="126">
        <f>D88*0.01 + E88</f>
        <v>126063.20453999999</v>
      </c>
      <c r="G88" s="126">
        <f>D88*0.01 +F88</f>
        <v>127299.11830999999</v>
      </c>
    </row>
    <row r="89" spans="1:7" s="92" customFormat="1" ht="14.4" customHeight="1" x14ac:dyDescent="0.3">
      <c r="A89" s="4">
        <v>9</v>
      </c>
      <c r="B89" s="306" t="s">
        <v>390</v>
      </c>
      <c r="C89" s="128">
        <f>SUM(D89:G89)</f>
        <v>0</v>
      </c>
      <c r="D89" s="127">
        <f>D90*D91</f>
        <v>0</v>
      </c>
      <c r="E89" s="127">
        <f>E90*E91</f>
        <v>0</v>
      </c>
      <c r="F89" s="127">
        <f>F90*F91</f>
        <v>0</v>
      </c>
      <c r="G89" s="127">
        <f>G90*G91</f>
        <v>0</v>
      </c>
    </row>
    <row r="90" spans="1:7" s="92" customFormat="1" ht="24" customHeight="1" x14ac:dyDescent="0.3">
      <c r="A90" s="4"/>
      <c r="B90" s="306" t="s">
        <v>388</v>
      </c>
      <c r="C90" s="128"/>
      <c r="D90" s="126">
        <v>0</v>
      </c>
      <c r="E90" s="126">
        <v>0</v>
      </c>
      <c r="F90" s="126">
        <v>0</v>
      </c>
      <c r="G90" s="126">
        <v>0</v>
      </c>
    </row>
    <row r="91" spans="1:7" s="92" customFormat="1" ht="14.4" customHeight="1" x14ac:dyDescent="0.3">
      <c r="A91" s="4"/>
      <c r="B91" s="306" t="s">
        <v>389</v>
      </c>
      <c r="C91" s="128"/>
      <c r="D91" s="126">
        <v>0</v>
      </c>
      <c r="E91" s="126">
        <v>0</v>
      </c>
      <c r="F91" s="126">
        <v>0</v>
      </c>
      <c r="G91" s="126">
        <v>0</v>
      </c>
    </row>
    <row r="92" spans="1:7" s="92" customFormat="1" ht="14.4" customHeight="1" x14ac:dyDescent="0.3">
      <c r="A92" s="4">
        <v>10</v>
      </c>
      <c r="B92" s="306" t="s">
        <v>391</v>
      </c>
      <c r="C92" s="128">
        <f>SUM(D92:G92)</f>
        <v>0</v>
      </c>
      <c r="D92" s="127">
        <f>D93*D94</f>
        <v>0</v>
      </c>
      <c r="E92" s="127">
        <f>E93*E94</f>
        <v>0</v>
      </c>
      <c r="F92" s="127">
        <f>F93*F94</f>
        <v>0</v>
      </c>
      <c r="G92" s="127">
        <f>G93*G94</f>
        <v>0</v>
      </c>
    </row>
    <row r="93" spans="1:7" s="92" customFormat="1" ht="24" customHeight="1" x14ac:dyDescent="0.3">
      <c r="A93" s="4"/>
      <c r="B93" s="306" t="s">
        <v>388</v>
      </c>
      <c r="C93" s="128"/>
      <c r="D93" s="126">
        <v>0</v>
      </c>
      <c r="E93" s="126">
        <v>0</v>
      </c>
      <c r="F93" s="126">
        <v>0</v>
      </c>
      <c r="G93" s="126">
        <v>0</v>
      </c>
    </row>
    <row r="94" spans="1:7" s="92" customFormat="1" ht="14.4" customHeight="1" x14ac:dyDescent="0.3">
      <c r="A94" s="4"/>
      <c r="B94" s="306" t="s">
        <v>389</v>
      </c>
      <c r="C94" s="128"/>
      <c r="D94" s="126">
        <v>0</v>
      </c>
      <c r="E94" s="126">
        <v>0</v>
      </c>
      <c r="F94" s="126">
        <v>0</v>
      </c>
      <c r="G94" s="126">
        <v>0</v>
      </c>
    </row>
    <row r="95" spans="1:7" s="90" customFormat="1" ht="14.4" customHeight="1" x14ac:dyDescent="0.3">
      <c r="A95" s="4"/>
      <c r="B95" s="311" t="s">
        <v>392</v>
      </c>
      <c r="C95" s="128">
        <f>SUM(D95:G95)</f>
        <v>8095863.8162359996</v>
      </c>
      <c r="D95" s="128">
        <f>D77+D82+D85+D86+D89+D92</f>
        <v>1966815.3637999999</v>
      </c>
      <c r="E95" s="128">
        <f>E77+E82+E85+E86+E89+E92</f>
        <v>2004915.757306</v>
      </c>
      <c r="F95" s="128">
        <f>F77+F82+F85+F86+F89+F92</f>
        <v>2043016.1508119998</v>
      </c>
      <c r="G95" s="128">
        <f>G77+G82+G85+G86+G89+G92</f>
        <v>2081116.5443179999</v>
      </c>
    </row>
    <row r="96" spans="1:7" s="90" customFormat="1" ht="14.4" customHeight="1" x14ac:dyDescent="0.3">
      <c r="A96" s="4">
        <v>11</v>
      </c>
      <c r="B96" s="306" t="s">
        <v>393</v>
      </c>
      <c r="C96" s="128">
        <f>SUM(D96:G96)</f>
        <v>5039842.8</v>
      </c>
      <c r="D96" s="128">
        <f>SUM(D97*D98)*D99</f>
        <v>1095618</v>
      </c>
      <c r="E96" s="128">
        <f>SUM(E97*E98)*E99</f>
        <v>1205179.8</v>
      </c>
      <c r="F96" s="128">
        <f>SUM(F97*F98)*F99</f>
        <v>1314741.6000000001</v>
      </c>
      <c r="G96" s="128">
        <f>SUM(G97*G98)*G99</f>
        <v>1424303.4000000001</v>
      </c>
    </row>
    <row r="97" spans="1:7" s="90" customFormat="1" ht="14.4" customHeight="1" x14ac:dyDescent="0.3">
      <c r="A97" s="4"/>
      <c r="B97" s="306" t="s">
        <v>394</v>
      </c>
      <c r="C97" s="128"/>
      <c r="D97" s="126">
        <v>1</v>
      </c>
      <c r="E97" s="126">
        <v>1</v>
      </c>
      <c r="F97" s="126">
        <v>1</v>
      </c>
      <c r="G97" s="126">
        <v>1</v>
      </c>
    </row>
    <row r="98" spans="1:7" s="90" customFormat="1" ht="14.4" customHeight="1" x14ac:dyDescent="0.3">
      <c r="A98" s="4"/>
      <c r="B98" s="306" t="s">
        <v>395</v>
      </c>
      <c r="C98" s="128"/>
      <c r="D98" s="126">
        <f>'1B-ContPP'!C19</f>
        <v>1095618</v>
      </c>
      <c r="E98" s="126">
        <f>D98*0.1 + D98</f>
        <v>1205179.8</v>
      </c>
      <c r="F98" s="126">
        <f>D98*0.1 + E98</f>
        <v>1314741.6000000001</v>
      </c>
      <c r="G98" s="126">
        <f>D98*0.1 + F98</f>
        <v>1424303.4000000001</v>
      </c>
    </row>
    <row r="99" spans="1:7" s="90" customFormat="1" ht="14.4" customHeight="1" x14ac:dyDescent="0.3">
      <c r="A99" s="4"/>
      <c r="B99" s="306"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27116.5455</v>
      </c>
      <c r="F100" s="126">
        <f>F96*2.25%</f>
        <v>29581.686000000002</v>
      </c>
      <c r="G100" s="126">
        <f>G96*2.25%</f>
        <v>32046.826500000003</v>
      </c>
    </row>
    <row r="101" spans="1:7" s="92" customFormat="1" ht="14.4" customHeight="1" x14ac:dyDescent="0.3">
      <c r="A101" s="4"/>
      <c r="B101" s="311" t="s">
        <v>398</v>
      </c>
      <c r="C101" s="128">
        <f>SUM(D101:G101)</f>
        <v>5153239.2630000003</v>
      </c>
      <c r="D101" s="213">
        <f>D100+D96</f>
        <v>1120269.405</v>
      </c>
      <c r="E101" s="213">
        <f>E100+E96</f>
        <v>1232296.3455000001</v>
      </c>
      <c r="F101" s="213">
        <f>F100+F96</f>
        <v>1344323.2860000001</v>
      </c>
      <c r="G101" s="213">
        <f>G100+G96</f>
        <v>1456350.2265000001</v>
      </c>
    </row>
    <row r="102" spans="1:7" s="92" customFormat="1" ht="36" customHeight="1" x14ac:dyDescent="0.3">
      <c r="A102" s="4">
        <v>13</v>
      </c>
      <c r="B102" s="6" t="s">
        <v>399</v>
      </c>
      <c r="C102" s="128">
        <f>SUM(D102:G102)</f>
        <v>2488397.8675499992</v>
      </c>
      <c r="D102" s="172">
        <f>'1B-ContPP'!C22*1.19*0.05 +'1B-ContPP'!C22*1.19</f>
        <v>578697.17849999992</v>
      </c>
      <c r="E102" s="172">
        <f>D102*0.05 + D102</f>
        <v>607632.03742499987</v>
      </c>
      <c r="F102" s="172">
        <f>D102*0.05 + E102</f>
        <v>636566.89634999982</v>
      </c>
      <c r="G102" s="172">
        <f>D102*0.05 +F102</f>
        <v>665501.75527499977</v>
      </c>
    </row>
    <row r="103" spans="1:7" s="92" customFormat="1" ht="24" customHeight="1" x14ac:dyDescent="0.3">
      <c r="A103" s="4"/>
      <c r="B103" s="306" t="s">
        <v>416</v>
      </c>
      <c r="C103" s="128">
        <f>SUM(D103:G103)</f>
        <v>0</v>
      </c>
      <c r="D103" s="213">
        <f>D104*D105</f>
        <v>0</v>
      </c>
      <c r="E103" s="213">
        <f>E104*E105</f>
        <v>0</v>
      </c>
      <c r="F103" s="213">
        <f>F104*F105</f>
        <v>0</v>
      </c>
      <c r="G103" s="213">
        <f>G104*G105</f>
        <v>0</v>
      </c>
    </row>
    <row r="104" spans="1:7" s="92" customFormat="1" ht="14.4" customHeight="1" x14ac:dyDescent="0.3">
      <c r="A104" s="4"/>
      <c r="B104" s="306" t="s">
        <v>401</v>
      </c>
      <c r="C104" s="128"/>
      <c r="D104" s="172">
        <v>1</v>
      </c>
      <c r="E104" s="172">
        <v>1</v>
      </c>
      <c r="F104" s="172">
        <v>1</v>
      </c>
      <c r="G104" s="172">
        <v>1</v>
      </c>
    </row>
    <row r="105" spans="1:7" s="92" customFormat="1" ht="14.4" customHeight="1" x14ac:dyDescent="0.3">
      <c r="A105" s="4"/>
      <c r="B105" s="306" t="s">
        <v>372</v>
      </c>
      <c r="C105" s="128"/>
      <c r="D105" s="172">
        <v>0</v>
      </c>
      <c r="E105" s="172">
        <f>D105*1.02</f>
        <v>0</v>
      </c>
      <c r="F105" s="172">
        <f>E105*1.03</f>
        <v>0</v>
      </c>
      <c r="G105" s="172">
        <f>F105*1.04</f>
        <v>0</v>
      </c>
    </row>
    <row r="106" spans="1:7" s="93" customFormat="1" ht="36" customHeight="1" x14ac:dyDescent="0.3">
      <c r="A106" s="7">
        <v>14</v>
      </c>
      <c r="B106" s="311" t="s">
        <v>402</v>
      </c>
      <c r="C106" s="128">
        <f t="shared" ref="C106:C113" si="1">SUM(D106:G106)</f>
        <v>183140.59199999998</v>
      </c>
      <c r="D106" s="172">
        <f>'1B-ContPP'!C36*0.02 + '1B-ContPP'!C36</f>
        <v>44451.6</v>
      </c>
      <c r="E106" s="172">
        <f>D106*0.02 + D106</f>
        <v>45340.631999999998</v>
      </c>
      <c r="F106" s="172">
        <f>D106*0.02 +E106</f>
        <v>46229.663999999997</v>
      </c>
      <c r="G106" s="172">
        <f>D106*0.02 +F106</f>
        <v>47118.695999999996</v>
      </c>
    </row>
    <row r="107" spans="1:7" s="93" customFormat="1" ht="24" customHeight="1" x14ac:dyDescent="0.3">
      <c r="A107" s="7"/>
      <c r="B107" s="311" t="s">
        <v>417</v>
      </c>
      <c r="C107" s="128">
        <f t="shared" si="1"/>
        <v>15920641.538785998</v>
      </c>
      <c r="D107" s="127">
        <f>D95+D101+D102+D106</f>
        <v>3710233.5472999997</v>
      </c>
      <c r="E107" s="127">
        <f>E95+E101+E102+E106</f>
        <v>3890184.772231</v>
      </c>
      <c r="F107" s="127">
        <f>F95+F101+F102+F106</f>
        <v>4070135.9971619993</v>
      </c>
      <c r="G107" s="127">
        <f>G95+G101+G102+G106</f>
        <v>4250087.2220929991</v>
      </c>
    </row>
    <row r="108" spans="1:7" s="93" customFormat="1" ht="24" customHeight="1" x14ac:dyDescent="0.3">
      <c r="A108" s="7"/>
      <c r="B108" s="311" t="s">
        <v>418</v>
      </c>
      <c r="C108" s="128">
        <f t="shared" si="1"/>
        <v>3109122.4472104008</v>
      </c>
      <c r="D108" s="127">
        <f>D74-D107</f>
        <v>528965.38030000031</v>
      </c>
      <c r="E108" s="127">
        <f>E74-E107</f>
        <v>794130.04276699992</v>
      </c>
      <c r="F108" s="127">
        <f>F74-F107</f>
        <v>877009.15134720039</v>
      </c>
      <c r="G108" s="127">
        <f>G74-G107</f>
        <v>909017.87279620022</v>
      </c>
    </row>
    <row r="109" spans="1:7" s="93" customFormat="1" x14ac:dyDescent="0.3">
      <c r="A109" s="7">
        <v>15</v>
      </c>
      <c r="B109" s="8" t="s">
        <v>405</v>
      </c>
      <c r="C109" s="128">
        <f t="shared" si="1"/>
        <v>2773686.7772364002</v>
      </c>
      <c r="D109" s="126">
        <f>D74*0.19/1.19 -(D81+D85+D102)*0.19/1.19</f>
        <v>579982.65509999997</v>
      </c>
      <c r="E109" s="126">
        <f>E74*0.19/1.19 -(E81+E85+E102)*0.1/1.19</f>
        <v>694456.11184800009</v>
      </c>
      <c r="F109" s="126">
        <f>F74*0.19/1.19 -(F81+F85+F102)*0.1/1.19</f>
        <v>733942.09492920002</v>
      </c>
      <c r="G109" s="126">
        <f>G74*0.19/1.19 -(G81+G85+G102)*0.1/1.19</f>
        <v>765305.91535919998</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159913.9830756</v>
      </c>
      <c r="D111" s="126">
        <f>(D74/1.19) *(1/100)</f>
        <v>35623.520400000001</v>
      </c>
      <c r="E111" s="126">
        <f>(E74/1.19)*(1/100)</f>
        <v>39363.990042000005</v>
      </c>
      <c r="F111" s="126">
        <f>(F74/1.19)*(1/100)</f>
        <v>41572.648306800002</v>
      </c>
      <c r="G111" s="126">
        <f>(G74/1.19)*(1/100)</f>
        <v>43353.824326800001</v>
      </c>
    </row>
    <row r="112" spans="1:7" s="93" customFormat="1" ht="24" customHeight="1" x14ac:dyDescent="0.3">
      <c r="A112" s="7"/>
      <c r="B112" s="311" t="s">
        <v>419</v>
      </c>
      <c r="C112" s="128">
        <f t="shared" si="1"/>
        <v>2933600.7603120003</v>
      </c>
      <c r="D112" s="127">
        <f>D109-D110+D111</f>
        <v>615606.17550000001</v>
      </c>
      <c r="E112" s="127">
        <f>E109-E110+E111</f>
        <v>733820.10189000005</v>
      </c>
      <c r="F112" s="127">
        <f>F109-F110+F111</f>
        <v>775514.74323600007</v>
      </c>
      <c r="G112" s="127">
        <f>G109-G110+G111</f>
        <v>808659.73968599993</v>
      </c>
    </row>
    <row r="113" spans="1:13" s="92" customFormat="1" ht="24" customHeight="1" x14ac:dyDescent="0.3">
      <c r="A113" s="25"/>
      <c r="B113" s="311" t="s">
        <v>420</v>
      </c>
      <c r="C113" s="128">
        <f t="shared" si="1"/>
        <v>175521.68689840077</v>
      </c>
      <c r="D113" s="128">
        <f>D108-D112</f>
        <v>-86640.795199999702</v>
      </c>
      <c r="E113" s="128">
        <f>E108-E112</f>
        <v>60309.94087699987</v>
      </c>
      <c r="F113" s="128">
        <f>F108-F112</f>
        <v>101494.40811120032</v>
      </c>
      <c r="G113" s="128">
        <f>G108-G112</f>
        <v>100358.13311020029</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82" t="s">
        <v>421</v>
      </c>
      <c r="B115" s="383"/>
      <c r="C115" s="383"/>
      <c r="D115" s="383"/>
      <c r="E115" s="383"/>
      <c r="F115" s="383"/>
      <c r="G115" s="383"/>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3" t="s">
        <v>286</v>
      </c>
      <c r="D121" s="266" t="s">
        <v>361</v>
      </c>
      <c r="E121" s="305" t="s">
        <v>362</v>
      </c>
      <c r="F121" s="305" t="s">
        <v>363</v>
      </c>
      <c r="G121" s="305"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6"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11"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6" t="s">
        <v>432</v>
      </c>
      <c r="B127" s="337"/>
      <c r="C127" s="173" t="s">
        <v>286</v>
      </c>
      <c r="D127" s="266" t="s">
        <v>361</v>
      </c>
      <c r="E127" s="305" t="s">
        <v>362</v>
      </c>
      <c r="F127" s="305" t="s">
        <v>363</v>
      </c>
      <c r="G127" s="305" t="s">
        <v>364</v>
      </c>
    </row>
    <row r="128" spans="1:13" x14ac:dyDescent="0.3">
      <c r="A128" s="11">
        <v>23</v>
      </c>
      <c r="B128" s="8" t="s">
        <v>433</v>
      </c>
      <c r="C128" s="128">
        <f t="shared" ref="C128:C133" si="2">SUM(D128:D128)</f>
        <v>434974.61</v>
      </c>
      <c r="D128" s="126">
        <v>434974.61</v>
      </c>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434974.61</v>
      </c>
      <c r="D131" s="128">
        <f>SUM(D128:D130)</f>
        <v>434974.61</v>
      </c>
      <c r="E131" s="128">
        <f>SUM(E128:E130)</f>
        <v>0</v>
      </c>
      <c r="F131" s="128">
        <f>SUM(F128:F130)</f>
        <v>0</v>
      </c>
      <c r="G131" s="128">
        <f>SUM(G128:G130)</f>
        <v>0</v>
      </c>
    </row>
    <row r="132" spans="1:7" s="92" customFormat="1" ht="14.4" customHeight="1" x14ac:dyDescent="0.3">
      <c r="A132" s="25"/>
      <c r="B132" s="311" t="s">
        <v>437</v>
      </c>
      <c r="C132" s="128">
        <f t="shared" si="2"/>
        <v>-434974.61</v>
      </c>
      <c r="D132" s="128">
        <f>-D131</f>
        <v>-434974.61</v>
      </c>
      <c r="E132" s="128">
        <f>-E131</f>
        <v>0</v>
      </c>
      <c r="F132" s="128">
        <f>-F131</f>
        <v>0</v>
      </c>
      <c r="G132" s="128">
        <f>-G131</f>
        <v>0</v>
      </c>
    </row>
    <row r="133" spans="1:7" s="92" customFormat="1" ht="14.4" customHeight="1" x14ac:dyDescent="0.3">
      <c r="A133" s="366" t="s">
        <v>438</v>
      </c>
      <c r="B133" s="337"/>
      <c r="C133" s="128">
        <f t="shared" si="2"/>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65" t="s">
        <v>439</v>
      </c>
      <c r="B135" s="329"/>
      <c r="C135" s="173" t="s">
        <v>286</v>
      </c>
      <c r="D135" s="266" t="s">
        <v>361</v>
      </c>
      <c r="E135" s="305" t="s">
        <v>362</v>
      </c>
      <c r="F135" s="305" t="s">
        <v>363</v>
      </c>
      <c r="G135" s="305" t="s">
        <v>364</v>
      </c>
    </row>
    <row r="136" spans="1:7" s="92" customFormat="1" ht="14.4" customHeight="1" x14ac:dyDescent="0.3">
      <c r="A136" s="352"/>
      <c r="B136" s="353"/>
      <c r="C136" s="128">
        <f>SUM(D136:G136)</f>
        <v>175521.68689840077</v>
      </c>
      <c r="D136" s="128">
        <f>D113+D133</f>
        <v>-86640.795199999702</v>
      </c>
      <c r="E136" s="128">
        <f>E113+E133</f>
        <v>60309.94087699987</v>
      </c>
      <c r="F136" s="128">
        <f>F113+F133</f>
        <v>101494.40811120032</v>
      </c>
      <c r="G136" s="128">
        <f>G113+G133</f>
        <v>100358.13311020029</v>
      </c>
    </row>
    <row r="137" spans="1:7" s="93" customFormat="1" x14ac:dyDescent="0.3">
      <c r="A137" s="371" t="s">
        <v>410</v>
      </c>
      <c r="B137" s="337"/>
      <c r="C137" s="128"/>
      <c r="D137" s="127">
        <f>'1A-Bilant'!D28</f>
        <v>0</v>
      </c>
      <c r="E137" s="127">
        <f>D138</f>
        <v>-86640.795199999702</v>
      </c>
      <c r="F137" s="127">
        <f>E138</f>
        <v>-26330.854322999832</v>
      </c>
      <c r="G137" s="127">
        <f>F138</f>
        <v>75163.553788200486</v>
      </c>
    </row>
    <row r="138" spans="1:7" s="93" customFormat="1" ht="21.75" customHeight="1" x14ac:dyDescent="0.3">
      <c r="A138" s="371" t="s">
        <v>411</v>
      </c>
      <c r="B138" s="337"/>
      <c r="C138" s="128"/>
      <c r="D138" s="127">
        <f>D137+D136</f>
        <v>-86640.795199999702</v>
      </c>
      <c r="E138" s="127">
        <f>E137+E136</f>
        <v>-26330.854322999832</v>
      </c>
      <c r="F138" s="127">
        <f>F137+F136</f>
        <v>75163.553788200486</v>
      </c>
      <c r="G138" s="127">
        <f>G137+G136</f>
        <v>175521.68689840077</v>
      </c>
    </row>
    <row r="139" spans="1:7" s="93" customFormat="1" ht="21.75" customHeight="1" x14ac:dyDescent="0.3">
      <c r="A139" s="237"/>
      <c r="B139" s="237"/>
      <c r="C139" s="129"/>
      <c r="D139" s="238"/>
      <c r="E139" s="238"/>
      <c r="F139" s="238"/>
      <c r="G139" s="238"/>
    </row>
    <row r="140" spans="1:7" s="90" customFormat="1" ht="14.4" customHeight="1" x14ac:dyDescent="0.3">
      <c r="A140" s="381" t="s">
        <v>440</v>
      </c>
      <c r="B140" s="378"/>
      <c r="C140" s="378"/>
      <c r="D140" s="378"/>
      <c r="E140" s="378"/>
      <c r="F140" s="378"/>
      <c r="G140" s="378"/>
    </row>
    <row r="141" spans="1:7" s="90" customFormat="1" ht="14.4" customHeight="1" x14ac:dyDescent="0.3">
      <c r="A141" s="374" t="s">
        <v>359</v>
      </c>
      <c r="B141" s="373"/>
      <c r="C141" s="375" t="s">
        <v>286</v>
      </c>
      <c r="D141" s="376" t="s">
        <v>360</v>
      </c>
      <c r="E141" s="326"/>
      <c r="F141" s="326"/>
      <c r="G141" s="337"/>
    </row>
    <row r="142" spans="1:7" s="90" customFormat="1" ht="36" customHeight="1" x14ac:dyDescent="0.3">
      <c r="A142" s="348"/>
      <c r="B142" s="348"/>
      <c r="C142" s="348"/>
      <c r="D142" s="266" t="s">
        <v>361</v>
      </c>
      <c r="E142" s="305" t="s">
        <v>362</v>
      </c>
      <c r="F142" s="305" t="s">
        <v>363</v>
      </c>
      <c r="G142" s="305" t="s">
        <v>364</v>
      </c>
    </row>
    <row r="143" spans="1:7" s="90" customFormat="1" ht="14.4" customHeight="1" x14ac:dyDescent="0.3">
      <c r="A143" s="380" t="s">
        <v>441</v>
      </c>
      <c r="B143" s="326"/>
      <c r="C143" s="326"/>
      <c r="D143" s="326"/>
      <c r="E143" s="326"/>
      <c r="F143" s="326"/>
      <c r="G143" s="337"/>
    </row>
    <row r="144" spans="1:7" s="90" customFormat="1" ht="14.4" customHeight="1" x14ac:dyDescent="0.3">
      <c r="A144" s="367" t="s">
        <v>442</v>
      </c>
      <c r="B144" s="326"/>
      <c r="C144" s="326"/>
      <c r="D144" s="326"/>
      <c r="E144" s="326"/>
      <c r="F144" s="326"/>
      <c r="G144" s="337"/>
    </row>
    <row r="145" spans="1:7" s="90" customFormat="1" ht="14.4" customHeight="1" x14ac:dyDescent="0.3">
      <c r="A145" s="366" t="s">
        <v>443</v>
      </c>
      <c r="B145" s="326"/>
      <c r="C145" s="326"/>
      <c r="D145" s="326"/>
      <c r="E145" s="326"/>
      <c r="F145" s="326"/>
      <c r="G145" s="337"/>
    </row>
    <row r="146" spans="1:7" s="90" customFormat="1" ht="14.4" customHeight="1" x14ac:dyDescent="0.3">
      <c r="A146" s="4">
        <v>1</v>
      </c>
      <c r="B146" s="306" t="s">
        <v>367</v>
      </c>
      <c r="C146" s="128">
        <f>SUM(D146:G146)</f>
        <v>0</v>
      </c>
      <c r="D146" s="127">
        <f>D65-D9</f>
        <v>0</v>
      </c>
      <c r="E146" s="127">
        <f>E65-E9</f>
        <v>0</v>
      </c>
      <c r="F146" s="127">
        <f>F65-F9</f>
        <v>0</v>
      </c>
      <c r="G146" s="127">
        <f>G65-G9</f>
        <v>0</v>
      </c>
    </row>
    <row r="147" spans="1:7" s="90" customFormat="1" ht="14.4" customHeight="1" x14ac:dyDescent="0.3">
      <c r="A147" s="4">
        <v>2</v>
      </c>
      <c r="B147" s="306" t="s">
        <v>370</v>
      </c>
      <c r="C147" s="128">
        <f>SUM(D147:G147)</f>
        <v>0</v>
      </c>
      <c r="D147" s="127">
        <f>D68-D12</f>
        <v>0</v>
      </c>
      <c r="E147" s="127">
        <f>E68-E12</f>
        <v>0</v>
      </c>
      <c r="F147" s="127">
        <f>F68-F12</f>
        <v>0</v>
      </c>
      <c r="G147" s="127">
        <f>G68-G12</f>
        <v>0</v>
      </c>
    </row>
    <row r="148" spans="1:7" s="90" customFormat="1" ht="14.4" customHeight="1" x14ac:dyDescent="0.3">
      <c r="A148" s="4">
        <v>3</v>
      </c>
      <c r="B148" s="306" t="s">
        <v>373</v>
      </c>
      <c r="C148" s="128">
        <f>SUM(D148:G148)</f>
        <v>1818616.3399403971</v>
      </c>
      <c r="D148" s="127">
        <f>D71-D15</f>
        <v>0</v>
      </c>
      <c r="E148" s="127">
        <f>E71-E15</f>
        <v>402723.89812199958</v>
      </c>
      <c r="F148" s="127">
        <f>F71-F15</f>
        <v>623162.24235719908</v>
      </c>
      <c r="G148" s="127">
        <f>G71-G15</f>
        <v>792730.19946119841</v>
      </c>
    </row>
    <row r="149" spans="1:7" s="92" customFormat="1" ht="23.25" customHeight="1" x14ac:dyDescent="0.3">
      <c r="A149" s="366" t="s">
        <v>444</v>
      </c>
      <c r="B149" s="337"/>
      <c r="C149" s="128">
        <f>SUM(D149:G149)</f>
        <v>1818616.3399403971</v>
      </c>
      <c r="D149" s="128">
        <f>D74-D18</f>
        <v>0</v>
      </c>
      <c r="E149" s="128">
        <f>E74-E18</f>
        <v>402723.89812199958</v>
      </c>
      <c r="F149" s="128">
        <f>F74-F18</f>
        <v>623162.24235719908</v>
      </c>
      <c r="G149" s="128">
        <f>G74-G18</f>
        <v>792730.19946119841</v>
      </c>
    </row>
    <row r="150" spans="1:7" s="92" customFormat="1" ht="14.4" customHeight="1" x14ac:dyDescent="0.3">
      <c r="A150" s="367" t="s">
        <v>445</v>
      </c>
      <c r="B150" s="326"/>
      <c r="C150" s="326"/>
      <c r="D150" s="326"/>
      <c r="E150" s="326"/>
      <c r="F150" s="326"/>
      <c r="G150" s="337"/>
    </row>
    <row r="151" spans="1:7" s="92" customFormat="1" ht="14.4" customHeight="1" x14ac:dyDescent="0.3">
      <c r="A151" s="366" t="s">
        <v>446</v>
      </c>
      <c r="B151" s="326"/>
      <c r="C151" s="326"/>
      <c r="D151" s="326"/>
      <c r="E151" s="326"/>
      <c r="F151" s="326"/>
      <c r="G151" s="337"/>
    </row>
    <row r="152" spans="1:7" s="90" customFormat="1" ht="24" customHeight="1" x14ac:dyDescent="0.3">
      <c r="A152" s="4">
        <v>5</v>
      </c>
      <c r="B152" s="6" t="s">
        <v>379</v>
      </c>
      <c r="C152" s="128">
        <f t="shared" ref="C152:C171" si="3">SUM(D152:G152)</f>
        <v>13486.944492000039</v>
      </c>
      <c r="D152" s="127">
        <f>D77-D21</f>
        <v>0</v>
      </c>
      <c r="E152" s="127">
        <f>E77-E21</f>
        <v>2247.8240820000065</v>
      </c>
      <c r="F152" s="127">
        <f>F77-F21</f>
        <v>4495.6481640000129</v>
      </c>
      <c r="G152" s="127">
        <f>G77-G21</f>
        <v>6743.4722460000194</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306" t="s">
        <v>386</v>
      </c>
      <c r="C154" s="128">
        <f t="shared" si="3"/>
        <v>115272.67247999999</v>
      </c>
      <c r="D154" s="127">
        <f t="shared" ref="D154:G155" si="4">D85-D29</f>
        <v>27978.804</v>
      </c>
      <c r="E154" s="127">
        <f t="shared" si="4"/>
        <v>28538.380079999999</v>
      </c>
      <c r="F154" s="127">
        <f t="shared" si="4"/>
        <v>29097.956159999998</v>
      </c>
      <c r="G154" s="127">
        <f t="shared" si="4"/>
        <v>29657.532239999997</v>
      </c>
    </row>
    <row r="155" spans="1:7" s="90" customFormat="1" ht="14.4" customHeight="1" x14ac:dyDescent="0.3">
      <c r="A155" s="4">
        <v>8</v>
      </c>
      <c r="B155" s="306" t="s">
        <v>387</v>
      </c>
      <c r="C155" s="128">
        <f t="shared" si="3"/>
        <v>0</v>
      </c>
      <c r="D155" s="127">
        <f t="shared" si="4"/>
        <v>0</v>
      </c>
      <c r="E155" s="127">
        <f t="shared" si="4"/>
        <v>0</v>
      </c>
      <c r="F155" s="127">
        <f t="shared" si="4"/>
        <v>0</v>
      </c>
      <c r="G155" s="127">
        <f t="shared" si="4"/>
        <v>0</v>
      </c>
    </row>
    <row r="156" spans="1:7" s="90" customFormat="1" ht="14.4" customHeight="1" x14ac:dyDescent="0.3">
      <c r="A156" s="4">
        <v>9</v>
      </c>
      <c r="B156" s="306" t="s">
        <v>390</v>
      </c>
      <c r="C156" s="128">
        <f t="shared" si="3"/>
        <v>0</v>
      </c>
      <c r="D156" s="127">
        <f>D89-D33</f>
        <v>0</v>
      </c>
      <c r="E156" s="127">
        <f>E89-E33</f>
        <v>0</v>
      </c>
      <c r="F156" s="127">
        <f>F89-F33</f>
        <v>0</v>
      </c>
      <c r="G156" s="127">
        <f>G89-G33</f>
        <v>0</v>
      </c>
    </row>
    <row r="157" spans="1:7" s="90" customFormat="1" ht="14.4" customHeight="1" x14ac:dyDescent="0.3">
      <c r="A157" s="4">
        <v>10</v>
      </c>
      <c r="B157" s="306" t="s">
        <v>391</v>
      </c>
      <c r="C157" s="128">
        <f t="shared" si="3"/>
        <v>0</v>
      </c>
      <c r="D157" s="127">
        <f>D92-D36</f>
        <v>0</v>
      </c>
      <c r="E157" s="127">
        <f>E92-E36</f>
        <v>0</v>
      </c>
      <c r="F157" s="127">
        <f>F92-F36</f>
        <v>0</v>
      </c>
      <c r="G157" s="127">
        <f>G92-G36</f>
        <v>0</v>
      </c>
    </row>
    <row r="158" spans="1:7" s="90" customFormat="1" ht="14.4" customHeight="1" x14ac:dyDescent="0.3">
      <c r="A158" s="4"/>
      <c r="B158" s="311" t="s">
        <v>392</v>
      </c>
      <c r="C158" s="128">
        <f t="shared" si="3"/>
        <v>128759.61697200034</v>
      </c>
      <c r="D158" s="128">
        <f t="shared" ref="D158:G159" si="5">D95-D39</f>
        <v>27978.804000000004</v>
      </c>
      <c r="E158" s="128">
        <f t="shared" si="5"/>
        <v>30786.204162000213</v>
      </c>
      <c r="F158" s="128">
        <f t="shared" si="5"/>
        <v>33593.604323999956</v>
      </c>
      <c r="G158" s="128">
        <f t="shared" si="5"/>
        <v>36401.004486000165</v>
      </c>
    </row>
    <row r="159" spans="1:7" s="90" customFormat="1" ht="14.4" customHeight="1" x14ac:dyDescent="0.3">
      <c r="A159" s="4">
        <v>11</v>
      </c>
      <c r="B159" s="306" t="s">
        <v>393</v>
      </c>
      <c r="C159" s="128">
        <f t="shared" si="3"/>
        <v>657370.80000000028</v>
      </c>
      <c r="D159" s="127">
        <f t="shared" si="5"/>
        <v>0</v>
      </c>
      <c r="E159" s="127">
        <f t="shared" si="5"/>
        <v>109561.80000000005</v>
      </c>
      <c r="F159" s="127">
        <f t="shared" si="5"/>
        <v>219123.60000000009</v>
      </c>
      <c r="G159" s="127">
        <f t="shared" si="5"/>
        <v>328685.40000000014</v>
      </c>
    </row>
    <row r="160" spans="1:7" s="90" customFormat="1" ht="14.4" customHeight="1" x14ac:dyDescent="0.3">
      <c r="A160" s="7">
        <v>12</v>
      </c>
      <c r="B160" s="6" t="s">
        <v>397</v>
      </c>
      <c r="C160" s="128">
        <f t="shared" si="3"/>
        <v>14790.843000000008</v>
      </c>
      <c r="D160" s="127">
        <f t="shared" ref="D160:G163" si="6">D100-D44</f>
        <v>0</v>
      </c>
      <c r="E160" s="127">
        <f t="shared" si="6"/>
        <v>2465.1405000000013</v>
      </c>
      <c r="F160" s="127">
        <f t="shared" si="6"/>
        <v>4930.2810000000027</v>
      </c>
      <c r="G160" s="127">
        <f t="shared" si="6"/>
        <v>7395.421500000004</v>
      </c>
    </row>
    <row r="161" spans="1:13" s="92" customFormat="1" ht="14.4" customHeight="1" x14ac:dyDescent="0.3">
      <c r="A161" s="4"/>
      <c r="B161" s="311" t="s">
        <v>398</v>
      </c>
      <c r="C161" s="128">
        <f t="shared" si="3"/>
        <v>672161.64300000016</v>
      </c>
      <c r="D161" s="128">
        <f t="shared" si="6"/>
        <v>0</v>
      </c>
      <c r="E161" s="128">
        <f t="shared" si="6"/>
        <v>112026.94050000003</v>
      </c>
      <c r="F161" s="128">
        <f t="shared" si="6"/>
        <v>224053.88100000005</v>
      </c>
      <c r="G161" s="128">
        <f t="shared" si="6"/>
        <v>336080.82150000008</v>
      </c>
    </row>
    <row r="162" spans="1:13" s="90" customFormat="1" ht="36" customHeight="1" x14ac:dyDescent="0.3">
      <c r="A162" s="4">
        <v>13</v>
      </c>
      <c r="B162" s="6" t="s">
        <v>399</v>
      </c>
      <c r="C162" s="128">
        <f t="shared" si="3"/>
        <v>71097.081929999636</v>
      </c>
      <c r="D162" s="127">
        <f t="shared" si="6"/>
        <v>16534.205100000021</v>
      </c>
      <c r="E162" s="127">
        <f t="shared" si="6"/>
        <v>17360.915354999946</v>
      </c>
      <c r="F162" s="127">
        <f t="shared" si="6"/>
        <v>18187.625609999872</v>
      </c>
      <c r="G162" s="127">
        <f t="shared" si="6"/>
        <v>19014.335864999797</v>
      </c>
    </row>
    <row r="163" spans="1:13" s="90" customFormat="1" ht="24" customHeight="1" x14ac:dyDescent="0.3">
      <c r="A163" s="4"/>
      <c r="B163" s="306"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11" t="s">
        <v>447</v>
      </c>
      <c r="C164" s="128">
        <f t="shared" si="3"/>
        <v>2667.0959999999759</v>
      </c>
      <c r="D164" s="128">
        <f t="shared" ref="D164:G171" si="7">D106-D50</f>
        <v>0</v>
      </c>
      <c r="E164" s="128">
        <f t="shared" si="7"/>
        <v>444.51599999999598</v>
      </c>
      <c r="F164" s="128">
        <f t="shared" si="7"/>
        <v>889.03199999999197</v>
      </c>
      <c r="G164" s="128">
        <f t="shared" si="7"/>
        <v>1333.547999999988</v>
      </c>
    </row>
    <row r="165" spans="1:13" s="149" customFormat="1" ht="24" customHeight="1" x14ac:dyDescent="0.3">
      <c r="A165" s="147"/>
      <c r="B165" s="311" t="s">
        <v>448</v>
      </c>
      <c r="C165" s="128">
        <f t="shared" si="3"/>
        <v>874685.43790199794</v>
      </c>
      <c r="D165" s="128">
        <f t="shared" si="7"/>
        <v>44513.009099999443</v>
      </c>
      <c r="E165" s="128">
        <f t="shared" si="7"/>
        <v>160618.57601700025</v>
      </c>
      <c r="F165" s="128">
        <f t="shared" si="7"/>
        <v>276724.14293399919</v>
      </c>
      <c r="G165" s="128">
        <f t="shared" si="7"/>
        <v>392829.70985099906</v>
      </c>
    </row>
    <row r="166" spans="1:13" s="149" customFormat="1" ht="24" customHeight="1" x14ac:dyDescent="0.3">
      <c r="A166" s="147"/>
      <c r="B166" s="311" t="s">
        <v>449</v>
      </c>
      <c r="C166" s="128">
        <f t="shared" si="3"/>
        <v>943930.90203839913</v>
      </c>
      <c r="D166" s="128">
        <f t="shared" si="7"/>
        <v>-44513.009099999443</v>
      </c>
      <c r="E166" s="128">
        <f t="shared" si="7"/>
        <v>242105.32210499933</v>
      </c>
      <c r="F166" s="128">
        <f t="shared" si="7"/>
        <v>346438.09942319989</v>
      </c>
      <c r="G166" s="128">
        <f t="shared" si="7"/>
        <v>399900.48961019935</v>
      </c>
    </row>
    <row r="167" spans="1:13" x14ac:dyDescent="0.3">
      <c r="A167" s="7">
        <v>15</v>
      </c>
      <c r="B167" s="8" t="s">
        <v>405</v>
      </c>
      <c r="C167" s="128">
        <f t="shared" si="3"/>
        <v>557355.89169239986</v>
      </c>
      <c r="D167" s="127">
        <f t="shared" si="7"/>
        <v>28782.509100000025</v>
      </c>
      <c r="E167" s="127">
        <f t="shared" si="7"/>
        <v>141334.24892400007</v>
      </c>
      <c r="F167" s="127">
        <f t="shared" si="7"/>
        <v>178898.51508119993</v>
      </c>
      <c r="G167" s="127">
        <f t="shared" si="7"/>
        <v>208340.61858719983</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-5429.0245089600139</v>
      </c>
      <c r="D169" s="127">
        <f t="shared" si="7"/>
        <v>0</v>
      </c>
      <c r="E169" s="127">
        <f t="shared" si="7"/>
        <v>-3451.9191267599963</v>
      </c>
      <c r="F169" s="127">
        <f t="shared" si="7"/>
        <v>-1667.1807547200078</v>
      </c>
      <c r="G169" s="127">
        <f t="shared" si="7"/>
        <v>-309.9246274800098</v>
      </c>
      <c r="H169" s="93"/>
      <c r="I169" s="93"/>
      <c r="J169" s="93"/>
      <c r="K169" s="93"/>
      <c r="L169" s="93"/>
      <c r="M169" s="93"/>
    </row>
    <row r="170" spans="1:13" s="149" customFormat="1" ht="13.2" customHeight="1" x14ac:dyDescent="0.3">
      <c r="A170" s="366" t="s">
        <v>450</v>
      </c>
      <c r="B170" s="337"/>
      <c r="C170" s="128">
        <f t="shared" si="3"/>
        <v>551926.86718343967</v>
      </c>
      <c r="D170" s="128">
        <f t="shared" si="7"/>
        <v>28782.509100000025</v>
      </c>
      <c r="E170" s="128">
        <f t="shared" si="7"/>
        <v>137882.32979723997</v>
      </c>
      <c r="F170" s="128">
        <f t="shared" si="7"/>
        <v>177231.33432647993</v>
      </c>
      <c r="G170" s="128">
        <f t="shared" si="7"/>
        <v>208030.69395971973</v>
      </c>
    </row>
    <row r="171" spans="1:13" s="92" customFormat="1" ht="27" customHeight="1" x14ac:dyDescent="0.3">
      <c r="A171" s="366" t="s">
        <v>451</v>
      </c>
      <c r="B171" s="337"/>
      <c r="C171" s="128">
        <f t="shared" si="3"/>
        <v>392004.03485495946</v>
      </c>
      <c r="D171" s="128">
        <f t="shared" si="7"/>
        <v>-73295.518199999467</v>
      </c>
      <c r="E171" s="128">
        <f t="shared" si="7"/>
        <v>104222.99230775936</v>
      </c>
      <c r="F171" s="128">
        <f t="shared" si="7"/>
        <v>169206.76509671996</v>
      </c>
      <c r="G171" s="128">
        <f t="shared" si="7"/>
        <v>191869.79565047962</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5" t="s">
        <v>286</v>
      </c>
      <c r="D174" s="266"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8"/>
      <c r="F177" s="238"/>
      <c r="G177" s="238"/>
      <c r="H177" s="238"/>
      <c r="I177" s="238"/>
      <c r="J177" s="238"/>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5" t="s">
        <v>286</v>
      </c>
      <c r="D179" s="266" t="s">
        <v>361</v>
      </c>
      <c r="E179" s="305" t="s">
        <v>362</v>
      </c>
      <c r="F179" s="305" t="s">
        <v>363</v>
      </c>
      <c r="G179" s="305"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6"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11"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6" t="str">
        <f>A127</f>
        <v>ACTIVITATEA DE INVESTITII (inclusiv  reinvestirile din perioada post implementare)</v>
      </c>
      <c r="B185" s="337"/>
      <c r="C185" s="305" t="s">
        <v>286</v>
      </c>
      <c r="D185" s="266" t="s">
        <v>361</v>
      </c>
      <c r="E185" s="305" t="s">
        <v>362</v>
      </c>
      <c r="F185" s="305" t="s">
        <v>363</v>
      </c>
      <c r="G185" s="305" t="s">
        <v>364</v>
      </c>
    </row>
    <row r="186" spans="1:10" s="93" customFormat="1" x14ac:dyDescent="0.3">
      <c r="A186" s="11">
        <v>23</v>
      </c>
      <c r="B186" s="8" t="s">
        <v>433</v>
      </c>
      <c r="C186" s="128">
        <f>SUM(D186:G186)</f>
        <v>434974.61</v>
      </c>
      <c r="D186" s="127">
        <f t="shared" ref="D186:G188" si="8">D128</f>
        <v>434974.61</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434974.61</v>
      </c>
      <c r="D189" s="128">
        <f>SUM(D186:D188)</f>
        <v>434974.61</v>
      </c>
      <c r="E189" s="128">
        <f>SUM(E186:E188)</f>
        <v>0</v>
      </c>
      <c r="F189" s="128">
        <f>SUM(F186:F188)</f>
        <v>0</v>
      </c>
      <c r="G189" s="128">
        <f>SUM(G186:G188)</f>
        <v>0</v>
      </c>
    </row>
    <row r="190" spans="1:10" s="92" customFormat="1" ht="14.4" customHeight="1" x14ac:dyDescent="0.3">
      <c r="A190" s="25"/>
      <c r="B190" s="311" t="s">
        <v>437</v>
      </c>
      <c r="C190" s="128">
        <f>SUM(D190:G190)</f>
        <v>-434974.61</v>
      </c>
      <c r="D190" s="128">
        <f>-D189</f>
        <v>-434974.61</v>
      </c>
      <c r="E190" s="128">
        <f>-E189</f>
        <v>0</v>
      </c>
      <c r="F190" s="128">
        <f>-F189</f>
        <v>0</v>
      </c>
      <c r="G190" s="128">
        <f>-G189</f>
        <v>0</v>
      </c>
    </row>
    <row r="191" spans="1:10" s="92" customFormat="1" ht="14.4" customHeight="1" x14ac:dyDescent="0.3">
      <c r="A191" s="365" t="s">
        <v>438</v>
      </c>
      <c r="B191" s="329"/>
      <c r="C191" s="305" t="s">
        <v>286</v>
      </c>
      <c r="D191" s="305" t="s">
        <v>362</v>
      </c>
      <c r="E191" s="305" t="s">
        <v>363</v>
      </c>
      <c r="F191" s="305" t="s">
        <v>364</v>
      </c>
      <c r="G191" s="305" t="s">
        <v>456</v>
      </c>
    </row>
    <row r="192" spans="1:10" s="92" customFormat="1" ht="15" customHeight="1" x14ac:dyDescent="0.3">
      <c r="A192" s="352"/>
      <c r="B192" s="353"/>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65" t="s">
        <v>457</v>
      </c>
      <c r="B194" s="329"/>
      <c r="C194" s="305" t="s">
        <v>286</v>
      </c>
      <c r="D194" s="305" t="s">
        <v>362</v>
      </c>
      <c r="E194" s="305" t="s">
        <v>363</v>
      </c>
      <c r="F194" s="305" t="s">
        <v>364</v>
      </c>
      <c r="G194" s="305" t="s">
        <v>456</v>
      </c>
    </row>
    <row r="195" spans="1:7" s="92" customFormat="1" ht="14.4" customHeight="1" x14ac:dyDescent="0.3">
      <c r="A195" s="352"/>
      <c r="B195" s="353"/>
      <c r="C195" s="128">
        <f>SUM(D195:G195)</f>
        <v>392004.03485495946</v>
      </c>
      <c r="D195" s="128">
        <f>D171+D192</f>
        <v>-73295.518199999467</v>
      </c>
      <c r="E195" s="128">
        <f>E171+E192</f>
        <v>104222.99230775936</v>
      </c>
      <c r="F195" s="128">
        <f>F171+F192</f>
        <v>169206.76509671996</v>
      </c>
      <c r="G195" s="128">
        <f>G171+G192</f>
        <v>191869.79565047962</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H18" sqref="H18"/>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6" t="s">
        <v>458</v>
      </c>
      <c r="B1" s="317"/>
      <c r="C1" s="317"/>
      <c r="D1" s="317"/>
      <c r="E1" s="317"/>
      <c r="F1" s="317"/>
      <c r="G1" s="204"/>
      <c r="H1" s="204"/>
      <c r="I1" s="204"/>
      <c r="J1" s="204"/>
      <c r="K1" s="204"/>
    </row>
    <row r="2" spans="1:13" x14ac:dyDescent="0.3">
      <c r="A2" s="386" t="s">
        <v>459</v>
      </c>
      <c r="B2" s="317"/>
      <c r="C2" s="317"/>
      <c r="D2" s="317"/>
      <c r="E2" s="317"/>
      <c r="F2" s="317"/>
      <c r="G2" s="317"/>
      <c r="H2" s="317"/>
      <c r="I2" s="317"/>
      <c r="J2" s="317"/>
      <c r="K2" s="317"/>
    </row>
    <row r="3" spans="1:13" x14ac:dyDescent="0.3">
      <c r="A3" s="308"/>
      <c r="B3" s="308"/>
      <c r="C3" s="308"/>
      <c r="D3" s="308"/>
      <c r="E3" s="308"/>
      <c r="F3" s="308"/>
      <c r="G3" s="308"/>
      <c r="H3" s="308"/>
      <c r="I3" s="308"/>
      <c r="J3" s="308"/>
      <c r="K3" s="308"/>
    </row>
    <row r="4" spans="1:13" ht="24" customHeight="1" x14ac:dyDescent="0.3">
      <c r="A4" s="257" t="s">
        <v>460</v>
      </c>
      <c r="B4" s="258" t="s">
        <v>461</v>
      </c>
      <c r="C4" s="308"/>
      <c r="D4" s="308"/>
      <c r="E4" s="308"/>
      <c r="F4" s="308"/>
      <c r="G4" s="308"/>
      <c r="H4" s="308"/>
      <c r="I4" s="308"/>
      <c r="J4" s="308"/>
      <c r="K4" s="308"/>
    </row>
    <row r="5" spans="1:13" x14ac:dyDescent="0.3">
      <c r="C5" s="252"/>
    </row>
    <row r="6" spans="1:13" x14ac:dyDescent="0.3">
      <c r="A6" s="206" t="s">
        <v>462</v>
      </c>
      <c r="B6" s="207">
        <v>0.04</v>
      </c>
      <c r="C6" s="390" t="s">
        <v>463</v>
      </c>
      <c r="D6" s="326"/>
      <c r="E6" s="326"/>
      <c r="F6" s="337"/>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1818616.3399403971</v>
      </c>
      <c r="C8" s="211">
        <f>'3A-Proiectii_fin_investitie'!D149</f>
        <v>0</v>
      </c>
      <c r="D8" s="211">
        <f>'3A-Proiectii_fin_investitie'!E149</f>
        <v>402723.89812199958</v>
      </c>
      <c r="E8" s="211">
        <f>'3A-Proiectii_fin_investitie'!F149</f>
        <v>623162.24235719908</v>
      </c>
      <c r="F8" s="211">
        <f>'3A-Proiectii_fin_investitie'!G149</f>
        <v>792730.19946119841</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1818616.3399403971</v>
      </c>
      <c r="C10" s="213">
        <f>SUM(C8:C9)</f>
        <v>0</v>
      </c>
      <c r="D10" s="213">
        <f>SUM(D8:D9)</f>
        <v>402723.89812199958</v>
      </c>
      <c r="E10" s="213">
        <f>SUM(E8:E9)</f>
        <v>623162.24235719908</v>
      </c>
      <c r="F10" s="213">
        <f>SUM(F8:F9)</f>
        <v>792730.19946119841</v>
      </c>
      <c r="G10" s="214"/>
    </row>
    <row r="11" spans="1:13" s="210" customFormat="1" ht="14.4" customHeight="1" x14ac:dyDescent="0.3">
      <c r="A11" s="208" t="s">
        <v>467</v>
      </c>
      <c r="B11" s="127">
        <f t="shared" si="0"/>
        <v>872018.34190199792</v>
      </c>
      <c r="C11" s="127">
        <f>'3A-Proiectii_fin_investitie'!D165-'3A-Proiectii_fin_investitie'!D164</f>
        <v>44513.009099999443</v>
      </c>
      <c r="D11" s="127">
        <f>'3A-Proiectii_fin_investitie'!E165-'3A-Proiectii_fin_investitie'!E164</f>
        <v>160174.06001700024</v>
      </c>
      <c r="E11" s="127">
        <f>'3A-Proiectii_fin_investitie'!F165-'3A-Proiectii_fin_investitie'!F164</f>
        <v>275835.11093399918</v>
      </c>
      <c r="F11" s="127">
        <f>'3A-Proiectii_fin_investitie'!G165-'3A-Proiectii_fin_investitie'!G164</f>
        <v>391496.16185099905</v>
      </c>
      <c r="G11" s="209"/>
    </row>
    <row r="12" spans="1:13" s="210" customFormat="1" ht="14.4" customHeight="1" x14ac:dyDescent="0.3">
      <c r="A12" s="208" t="s">
        <v>468</v>
      </c>
      <c r="B12" s="127">
        <f t="shared" si="0"/>
        <v>434974.61</v>
      </c>
      <c r="C12" s="127">
        <f>'3A-Proiectii_fin_investitie'!D189</f>
        <v>434974.61</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490189.35169239988</v>
      </c>
      <c r="C13" s="127">
        <f>IF($B$4="NU",-'2B-Investitie'!E25+'3A-Proiectii_fin_investitie'!D167-'3A-Proiectii_fin_investitie'!D168,0)</f>
        <v>-38384.030899999969</v>
      </c>
      <c r="D13" s="127">
        <f>IF($B$4="NU",-'2B-Investitie'!F25+'3A-Proiectii_fin_investitie'!E167-'3A-Proiectii_fin_investitie'!E168,0)</f>
        <v>141334.24892400007</v>
      </c>
      <c r="E13" s="127">
        <f>IF($B$4="NU",-'2B-Investitie'!G25+'3A-Proiectii_fin_investitie'!F167-'3A-Proiectii_fin_investitie'!F168,0)</f>
        <v>178898.51508119993</v>
      </c>
      <c r="F13" s="127">
        <f>IF($B$4="NU",-'2B-Investitie'!H25+'3A-Proiectii_fin_investitie'!G167-'3A-Proiectii_fin_investitie'!G168,0)</f>
        <v>208340.61858719983</v>
      </c>
      <c r="G13" s="209"/>
    </row>
    <row r="14" spans="1:13" s="215" customFormat="1" ht="14.4" customHeight="1" x14ac:dyDescent="0.3">
      <c r="A14" s="212" t="s">
        <v>470</v>
      </c>
      <c r="B14" s="128">
        <f t="shared" si="0"/>
        <v>1797182.3035943978</v>
      </c>
      <c r="C14" s="128">
        <f>SUM(C11:C13)</f>
        <v>441103.58819999947</v>
      </c>
      <c r="D14" s="128">
        <f>SUM(D11:D13)</f>
        <v>301508.30894100032</v>
      </c>
      <c r="E14" s="128">
        <f>SUM(E11:E13)</f>
        <v>454733.62601519912</v>
      </c>
      <c r="F14" s="128">
        <f>SUM(F11:F13)</f>
        <v>599836.78043819894</v>
      </c>
      <c r="G14" s="214"/>
    </row>
    <row r="15" spans="1:13" s="215" customFormat="1" ht="14.4" customHeight="1" x14ac:dyDescent="0.3">
      <c r="A15" s="212" t="s">
        <v>471</v>
      </c>
      <c r="B15" s="128">
        <f t="shared" si="0"/>
        <v>21434.036345999222</v>
      </c>
      <c r="C15" s="128">
        <f>C10-C14</f>
        <v>-441103.58819999947</v>
      </c>
      <c r="D15" s="128">
        <f>D10-D14</f>
        <v>101215.58918099926</v>
      </c>
      <c r="E15" s="128">
        <f>E10-E14</f>
        <v>168428.61634199996</v>
      </c>
      <c r="F15" s="128">
        <f>F10-F14</f>
        <v>192893.41902299947</v>
      </c>
      <c r="G15" s="214"/>
    </row>
    <row r="16" spans="1:13" s="217" customFormat="1" ht="14.4" customHeight="1" x14ac:dyDescent="0.3">
      <c r="A16" s="212" t="s">
        <v>472</v>
      </c>
      <c r="B16" s="128">
        <f t="shared" si="0"/>
        <v>-15940.03411844591</v>
      </c>
      <c r="C16" s="128">
        <f>C15*POWER(1+$B$6,-C7)</f>
        <v>-424138.06557692256</v>
      </c>
      <c r="D16" s="128">
        <f>D15*POWER(1+$B$6,-D7)</f>
        <v>93579.50183154516</v>
      </c>
      <c r="E16" s="128">
        <f>E15*POWER(1+$B$6,-E7)</f>
        <v>149732.42662401852</v>
      </c>
      <c r="F16" s="128">
        <f>F15*POWER(1+$B$6,-F7)</f>
        <v>164886.10300291298</v>
      </c>
      <c r="G16" s="216"/>
    </row>
    <row r="17" spans="1:13" s="215" customFormat="1" ht="14.4" customHeight="1" x14ac:dyDescent="0.3">
      <c r="A17" s="212" t="s">
        <v>473</v>
      </c>
      <c r="B17" s="128">
        <f t="shared" si="0"/>
        <v>353661.60576923075</v>
      </c>
      <c r="C17" s="128">
        <f>IF($B$4="NU",(C12-'2B-Investitie'!E25)*POWER(1+$B$6,-C7),C12*POWER(1+$B$6,-C7))</f>
        <v>353661.60576923075</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-15940.03411844591</v>
      </c>
      <c r="C18" s="219"/>
      <c r="D18" s="239"/>
      <c r="E18" s="220"/>
      <c r="F18" s="220"/>
      <c r="G18" s="220"/>
      <c r="H18" s="220"/>
      <c r="I18" s="220"/>
      <c r="J18" s="220"/>
      <c r="K18" s="220"/>
      <c r="L18" s="220"/>
      <c r="M18" s="214"/>
    </row>
    <row r="19" spans="1:13" s="221" customFormat="1" ht="15.6" customHeight="1" x14ac:dyDescent="0.3">
      <c r="A19" s="212" t="s">
        <v>475</v>
      </c>
      <c r="B19" s="222">
        <f>IFERROR(IRR(C15:F15),"")</f>
        <v>2.1884698824803372E-2</v>
      </c>
      <c r="C19" s="261">
        <f>(IRR(C15:F15))</f>
        <v>2.1884698824803372E-2</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8" t="s">
        <v>476</v>
      </c>
      <c r="B22" s="389"/>
      <c r="C22" s="389"/>
      <c r="D22" s="389"/>
      <c r="E22" s="389"/>
      <c r="F22" s="389"/>
      <c r="G22" s="389"/>
      <c r="H22" s="389"/>
      <c r="I22" s="389"/>
      <c r="J22" s="389"/>
      <c r="K22" s="389"/>
      <c r="L22" s="389"/>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7" t="s">
        <v>477</v>
      </c>
      <c r="B24" s="174" t="s">
        <v>478</v>
      </c>
      <c r="C24" s="174" t="s">
        <v>479</v>
      </c>
      <c r="D24" s="174" t="s">
        <v>480</v>
      </c>
      <c r="E24" s="174" t="s">
        <v>481</v>
      </c>
      <c r="G24" s="96"/>
      <c r="H24" s="96"/>
      <c r="I24" s="96"/>
      <c r="J24" s="96"/>
      <c r="K24" s="97"/>
      <c r="L24" s="97"/>
      <c r="M24" s="246"/>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712256</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9"/>
      <c r="B58" s="98"/>
      <c r="C58" s="98"/>
      <c r="D58" s="98"/>
      <c r="E58" s="98"/>
      <c r="F58" s="98"/>
      <c r="G58" s="98"/>
      <c r="H58" s="98"/>
      <c r="I58" s="98"/>
      <c r="J58" s="98"/>
      <c r="K58" s="98"/>
      <c r="L58" s="245"/>
    </row>
    <row r="59" spans="1:13" s="94" customFormat="1" ht="12" customHeight="1" x14ac:dyDescent="0.3">
      <c r="A59" s="385" t="s">
        <v>483</v>
      </c>
      <c r="B59" s="390" t="s">
        <v>463</v>
      </c>
      <c r="C59" s="326"/>
      <c r="D59" s="326"/>
      <c r="E59" s="337"/>
      <c r="F59" s="245"/>
    </row>
    <row r="60" spans="1:13" s="94" customFormat="1" ht="12" customHeight="1" x14ac:dyDescent="0.3">
      <c r="A60" s="348"/>
      <c r="B60" s="310">
        <v>1</v>
      </c>
      <c r="C60" s="310">
        <f>B60+1</f>
        <v>2</v>
      </c>
      <c r="D60" s="310">
        <f>C60+1</f>
        <v>3</v>
      </c>
      <c r="E60" s="310">
        <f>D60+1</f>
        <v>4</v>
      </c>
      <c r="F60" s="245"/>
    </row>
    <row r="61" spans="1:13" s="94" customFormat="1" ht="12" customHeight="1" x14ac:dyDescent="0.3">
      <c r="A61" s="161" t="s">
        <v>471</v>
      </c>
      <c r="B61" s="159">
        <f>C15</f>
        <v>-441103.58819999947</v>
      </c>
      <c r="C61" s="159">
        <f>D15</f>
        <v>101215.58918099926</v>
      </c>
      <c r="D61" s="159">
        <f>E15</f>
        <v>168428.61634199996</v>
      </c>
      <c r="E61" s="159">
        <f>F15</f>
        <v>192893.41902299947</v>
      </c>
      <c r="F61" s="245"/>
    </row>
    <row r="62" spans="1:13" s="94" customFormat="1" x14ac:dyDescent="0.3">
      <c r="A62" s="161" t="s">
        <v>484</v>
      </c>
      <c r="B62" s="159"/>
      <c r="C62" s="159"/>
      <c r="D62" s="159"/>
      <c r="E62" s="159">
        <f>IF(F8-F14&gt;0,NPV(4%,B69:K69,B73:K73,B77:K77,B81:K81,B85:G85),0)</f>
        <v>1298702.1783387593</v>
      </c>
      <c r="F62" s="204"/>
      <c r="G62" s="99"/>
      <c r="H62" s="246"/>
    </row>
    <row r="63" spans="1:13" s="94" customFormat="1" x14ac:dyDescent="0.3">
      <c r="A63" s="154" t="s">
        <v>485</v>
      </c>
      <c r="B63" s="155">
        <f>SUM(B61:B62)</f>
        <v>-441103.58819999947</v>
      </c>
      <c r="C63" s="155">
        <f>SUM(C61:C62)</f>
        <v>101215.58918099926</v>
      </c>
      <c r="D63" s="155">
        <f>SUM(D61:D62)</f>
        <v>168428.61634199996</v>
      </c>
      <c r="E63" s="155">
        <f>SUM(E61:E62)</f>
        <v>1491595.5973617588</v>
      </c>
      <c r="F63" s="100"/>
      <c r="G63" s="101"/>
      <c r="H63" s="246"/>
    </row>
    <row r="66" spans="1:26" s="225" customFormat="1" ht="13.2" customHeight="1" x14ac:dyDescent="0.3">
      <c r="A66" s="244"/>
      <c r="B66" s="158">
        <f>IF($E$56-$E$60&gt;0,$E$56-$E$60,0)</f>
        <v>8</v>
      </c>
      <c r="C66" s="387" t="s">
        <v>486</v>
      </c>
      <c r="D66" s="328"/>
      <c r="E66" s="328"/>
      <c r="F66" s="329"/>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10">
        <f>IF(B66&gt;0,1,0)</f>
        <v>1</v>
      </c>
      <c r="C68" s="310">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192893.41902299947</v>
      </c>
      <c r="C69" s="159">
        <f t="shared" si="4"/>
        <v>192893.41902299947</v>
      </c>
      <c r="D69" s="159">
        <f t="shared" si="4"/>
        <v>192893.41902299947</v>
      </c>
      <c r="E69" s="159">
        <f t="shared" si="4"/>
        <v>192893.41902299947</v>
      </c>
      <c r="F69" s="159">
        <f t="shared" si="4"/>
        <v>192893.41902299947</v>
      </c>
      <c r="G69" s="159">
        <f t="shared" si="4"/>
        <v>192893.41902299947</v>
      </c>
      <c r="H69" s="159">
        <f t="shared" si="4"/>
        <v>192893.41902299947</v>
      </c>
      <c r="I69" s="159">
        <f t="shared" si="4"/>
        <v>192893.41902299947</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4" t="s">
        <v>489</v>
      </c>
      <c r="C71" s="326"/>
      <c r="D71" s="326"/>
      <c r="E71" s="337"/>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4" t="s">
        <v>489</v>
      </c>
      <c r="C75" s="326"/>
      <c r="D75" s="326"/>
      <c r="E75" s="337"/>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4" t="s">
        <v>489</v>
      </c>
      <c r="C79" s="326"/>
      <c r="D79" s="326"/>
      <c r="E79" s="337"/>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4" t="s">
        <v>489</v>
      </c>
      <c r="C83" s="326"/>
      <c r="D83" s="326"/>
      <c r="E83" s="337"/>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2020-11-02T20:39:51Z</dcterms:modified>
</cp:coreProperties>
</file>