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lexandru.vesa\Desktop\Research\New_Personal_Program_DL_Programming\GitMy\my-work\FinanciaApplication\vineri15\"/>
    </mc:Choice>
  </mc:AlternateContent>
  <xr:revisionPtr revIDLastSave="0" documentId="8_{22C7F3D6-2427-4CD9-A9C2-E5356F0AA187}" xr6:coauthVersionLast="45" xr6:coauthVersionMax="45" xr10:uidLastSave="{00000000-0000-0000-0000-000000000000}"/>
  <bookViews>
    <workbookView xWindow="2304" yWindow="2304" windowWidth="17280" windowHeight="8964" firstSheet="6" activeTab="8" xr2:uid="{00000000-000D-0000-FFFF-FFFF00000000}"/>
  </bookViews>
  <sheets>
    <sheet name="1A-Bilant" sheetId="1" r:id="rId1"/>
    <sheet name="1B-ContPP" sheetId="2" r:id="rId2"/>
    <sheet name="1C-Analiza_fin_extinsa" sheetId="3" r:id="rId3"/>
    <sheet name="1D-Analiza_fin_indicatori" sheetId="4" r:id="rId4"/>
    <sheet name="1E-Intreprindere_in_dificultate" sheetId="5" r:id="rId5"/>
    <sheet name="2B-Investitie" sheetId="6" r:id="rId6"/>
    <sheet name="2A-Buget_cerere" sheetId="7" r:id="rId7"/>
    <sheet name="3A-Proiectii_fin_investitie" sheetId="8" r:id="rId8"/>
    <sheet name="3B-Rentabilitate_investitie" sheetId="9" r:id="rId9"/>
    <sheet name="LIST" sheetId="10" state="hidden" r:id="rId10"/>
    <sheet name="4-Proiectii_fin_intreprindere" sheetId="11" r:id="rId11"/>
    <sheet name="Sheet1" sheetId="12" r:id="rId12"/>
  </sheets>
  <definedNames>
    <definedName name="_xlnm.Print_Area" localSheetId="7">'3A-Proiectii_fin_investitie'!$A$1:$M$195</definedName>
    <definedName name="TVA">LIST!$A$2:$B$3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6" i="11" l="1"/>
  <c r="F125" i="11"/>
  <c r="E125" i="11"/>
  <c r="D125" i="11"/>
  <c r="C125" i="11"/>
  <c r="F124" i="11"/>
  <c r="E124" i="11"/>
  <c r="D124" i="11"/>
  <c r="C124" i="11"/>
  <c r="F123" i="11"/>
  <c r="E123" i="11"/>
  <c r="D123" i="11"/>
  <c r="C123" i="11"/>
  <c r="F122" i="11"/>
  <c r="F121" i="11" s="1"/>
  <c r="F126" i="11" s="1"/>
  <c r="E122" i="11"/>
  <c r="E121" i="11" s="1"/>
  <c r="D122" i="11"/>
  <c r="C122" i="11"/>
  <c r="C121" i="11" s="1"/>
  <c r="C126" i="11" s="1"/>
  <c r="D121" i="11"/>
  <c r="D126" i="11" s="1"/>
  <c r="F115" i="11"/>
  <c r="E115" i="11"/>
  <c r="D115" i="11"/>
  <c r="C115" i="11"/>
  <c r="C97" i="11"/>
  <c r="F92" i="11"/>
  <c r="E92" i="11"/>
  <c r="D92" i="11"/>
  <c r="C92" i="11"/>
  <c r="F81" i="11"/>
  <c r="F80" i="11" s="1"/>
  <c r="E81" i="11"/>
  <c r="D81" i="11"/>
  <c r="D80" i="11" s="1"/>
  <c r="C81" i="11"/>
  <c r="E80" i="11"/>
  <c r="C80" i="11"/>
  <c r="F77" i="11"/>
  <c r="E77" i="11"/>
  <c r="D77" i="11"/>
  <c r="C77" i="11"/>
  <c r="F72" i="11"/>
  <c r="E72" i="11"/>
  <c r="D72" i="11"/>
  <c r="C72" i="11"/>
  <c r="F69" i="11"/>
  <c r="E69" i="11"/>
  <c r="D69" i="11"/>
  <c r="C69" i="11"/>
  <c r="C59" i="11"/>
  <c r="D59" i="11" s="1"/>
  <c r="E59" i="11" s="1"/>
  <c r="F59" i="11" s="1"/>
  <c r="C58" i="11"/>
  <c r="D58" i="11" s="1"/>
  <c r="C55" i="11"/>
  <c r="F52" i="11"/>
  <c r="E52" i="11"/>
  <c r="D52" i="11"/>
  <c r="C52" i="11"/>
  <c r="F49" i="11"/>
  <c r="E49" i="11"/>
  <c r="D49" i="11"/>
  <c r="C49" i="11"/>
  <c r="F46" i="11"/>
  <c r="E46" i="11"/>
  <c r="D46" i="11"/>
  <c r="C46" i="11"/>
  <c r="F43" i="11"/>
  <c r="E43" i="11"/>
  <c r="D43" i="11"/>
  <c r="C43" i="11"/>
  <c r="C41" i="11"/>
  <c r="F37" i="11"/>
  <c r="E37" i="11"/>
  <c r="D37" i="11"/>
  <c r="C37" i="11"/>
  <c r="F31" i="11"/>
  <c r="E31" i="11"/>
  <c r="D31" i="11"/>
  <c r="F26" i="11"/>
  <c r="F32" i="11" s="1"/>
  <c r="E26" i="11"/>
  <c r="D26" i="11"/>
  <c r="D32" i="11" s="1"/>
  <c r="C26" i="11"/>
  <c r="E21" i="11"/>
  <c r="C21" i="11"/>
  <c r="F16" i="11"/>
  <c r="F21" i="11" s="1"/>
  <c r="F22" i="11" s="1"/>
  <c r="E16" i="11"/>
  <c r="D16" i="11"/>
  <c r="D21" i="11" s="1"/>
  <c r="D22" i="11" s="1"/>
  <c r="C16" i="11"/>
  <c r="F14" i="11"/>
  <c r="D14" i="11"/>
  <c r="F9" i="11"/>
  <c r="E9" i="11"/>
  <c r="E14" i="11" s="1"/>
  <c r="E22" i="11" s="1"/>
  <c r="D9" i="11"/>
  <c r="C9" i="11"/>
  <c r="C60" i="9"/>
  <c r="D60" i="9" s="1"/>
  <c r="E60" i="9" s="1"/>
  <c r="B56" i="9"/>
  <c r="C48" i="9" s="1"/>
  <c r="E48" i="9" s="1"/>
  <c r="C43" i="9"/>
  <c r="E43" i="9" s="1"/>
  <c r="C40" i="9"/>
  <c r="E40" i="9" s="1"/>
  <c r="C27" i="9"/>
  <c r="E27" i="9" s="1"/>
  <c r="B9" i="9"/>
  <c r="G189" i="8"/>
  <c r="D189" i="8"/>
  <c r="G188" i="8"/>
  <c r="F188" i="8"/>
  <c r="E188" i="8"/>
  <c r="D188" i="8"/>
  <c r="C188" i="8" s="1"/>
  <c r="G187" i="8"/>
  <c r="F187" i="8"/>
  <c r="C187" i="8" s="1"/>
  <c r="E187" i="8"/>
  <c r="D187" i="8"/>
  <c r="G186" i="8"/>
  <c r="F186" i="8"/>
  <c r="F189" i="8" s="1"/>
  <c r="E186" i="8"/>
  <c r="E189" i="8" s="1"/>
  <c r="D186" i="8"/>
  <c r="A185" i="8"/>
  <c r="G181" i="8"/>
  <c r="F181" i="8"/>
  <c r="E181" i="8"/>
  <c r="D181" i="8"/>
  <c r="C181" i="8"/>
  <c r="D178" i="8"/>
  <c r="C178" i="8" s="1"/>
  <c r="D177" i="8"/>
  <c r="C177" i="8" s="1"/>
  <c r="D176" i="8"/>
  <c r="C176" i="8"/>
  <c r="D175" i="8"/>
  <c r="C175" i="8"/>
  <c r="G168" i="8"/>
  <c r="F168" i="8"/>
  <c r="E168" i="8"/>
  <c r="D168" i="8"/>
  <c r="C168" i="8" s="1"/>
  <c r="D154" i="8"/>
  <c r="D137" i="8"/>
  <c r="G131" i="8"/>
  <c r="G132" i="8" s="1"/>
  <c r="F131" i="8"/>
  <c r="F132" i="8" s="1"/>
  <c r="E131" i="8"/>
  <c r="E132" i="8" s="1"/>
  <c r="D131" i="8"/>
  <c r="C130" i="8"/>
  <c r="C129" i="8"/>
  <c r="C128" i="8"/>
  <c r="G123" i="8"/>
  <c r="F123" i="8"/>
  <c r="E123" i="8"/>
  <c r="D123" i="8"/>
  <c r="C123" i="8"/>
  <c r="F122" i="8"/>
  <c r="E122" i="8"/>
  <c r="D119" i="8"/>
  <c r="C119" i="8" s="1"/>
  <c r="D118" i="8"/>
  <c r="C118" i="8"/>
  <c r="D117" i="8"/>
  <c r="D120" i="8" s="1"/>
  <c r="C120" i="8" s="1"/>
  <c r="C117" i="8"/>
  <c r="C110" i="8"/>
  <c r="F105" i="8"/>
  <c r="E105" i="8"/>
  <c r="E103" i="8" s="1"/>
  <c r="D103" i="8"/>
  <c r="D102" i="8"/>
  <c r="E98" i="8"/>
  <c r="E96" i="8" s="1"/>
  <c r="D98" i="8"/>
  <c r="G92" i="8"/>
  <c r="F92" i="8"/>
  <c r="E92" i="8"/>
  <c r="D92" i="8"/>
  <c r="G89" i="8"/>
  <c r="F89" i="8"/>
  <c r="E89" i="8"/>
  <c r="D89" i="8"/>
  <c r="E85" i="8"/>
  <c r="D67" i="11" s="1"/>
  <c r="D85" i="8"/>
  <c r="C67" i="11" s="1"/>
  <c r="C68" i="11" s="1"/>
  <c r="C66" i="11" s="1"/>
  <c r="E84" i="8"/>
  <c r="E82" i="8" s="1"/>
  <c r="D84" i="8"/>
  <c r="D82" i="8"/>
  <c r="F81" i="8"/>
  <c r="G81" i="8" s="1"/>
  <c r="E81" i="8"/>
  <c r="D81" i="8"/>
  <c r="D71" i="8"/>
  <c r="F70" i="8"/>
  <c r="G70" i="8" s="1"/>
  <c r="G68" i="8" s="1"/>
  <c r="F68" i="8"/>
  <c r="E68" i="8"/>
  <c r="D41" i="11" s="1"/>
  <c r="D68" i="8"/>
  <c r="C68" i="8"/>
  <c r="G65" i="8"/>
  <c r="F65" i="8"/>
  <c r="E65" i="8"/>
  <c r="D65" i="8"/>
  <c r="C65" i="8"/>
  <c r="D58" i="8"/>
  <c r="C58" i="8"/>
  <c r="C54" i="8"/>
  <c r="D50" i="8"/>
  <c r="E49" i="8"/>
  <c r="F49" i="8" s="1"/>
  <c r="E47" i="8"/>
  <c r="D47" i="8"/>
  <c r="E46" i="8"/>
  <c r="D46" i="8"/>
  <c r="F46" i="8" s="1"/>
  <c r="G46" i="8" s="1"/>
  <c r="G44" i="8"/>
  <c r="C44" i="8" s="1"/>
  <c r="D44" i="8"/>
  <c r="E44" i="8" s="1"/>
  <c r="F44" i="8" s="1"/>
  <c r="D42" i="8"/>
  <c r="E42" i="8" s="1"/>
  <c r="F42" i="8" s="1"/>
  <c r="E40" i="8"/>
  <c r="D40" i="8"/>
  <c r="G36" i="8"/>
  <c r="F36" i="8"/>
  <c r="E36" i="8"/>
  <c r="D36" i="8"/>
  <c r="G33" i="8"/>
  <c r="F33" i="8"/>
  <c r="E33" i="8"/>
  <c r="D33" i="8"/>
  <c r="C33" i="8"/>
  <c r="D32" i="8"/>
  <c r="D30" i="8" s="1"/>
  <c r="E29" i="8"/>
  <c r="E28" i="8"/>
  <c r="F28" i="8" s="1"/>
  <c r="F26" i="8" s="1"/>
  <c r="D28" i="8"/>
  <c r="D26" i="8" s="1"/>
  <c r="E26" i="8"/>
  <c r="G25" i="8"/>
  <c r="F25" i="8"/>
  <c r="E25" i="8"/>
  <c r="E23" i="8"/>
  <c r="D23" i="8"/>
  <c r="F23" i="8" s="1"/>
  <c r="G23" i="8" s="1"/>
  <c r="F21" i="8"/>
  <c r="E21" i="8"/>
  <c r="D21" i="8"/>
  <c r="G17" i="8"/>
  <c r="G15" i="8" s="1"/>
  <c r="E17" i="8"/>
  <c r="F17" i="8" s="1"/>
  <c r="F15" i="8" s="1"/>
  <c r="D17" i="8"/>
  <c r="D73" i="8" s="1"/>
  <c r="D15" i="8"/>
  <c r="G9" i="8"/>
  <c r="F9" i="8"/>
  <c r="E9" i="8"/>
  <c r="D9" i="8"/>
  <c r="H19" i="7"/>
  <c r="E19" i="7"/>
  <c r="G18" i="7"/>
  <c r="F18" i="7"/>
  <c r="C18" i="7"/>
  <c r="I17" i="7"/>
  <c r="C18" i="6" s="1"/>
  <c r="D18" i="6" s="1"/>
  <c r="H17" i="7"/>
  <c r="E17" i="7"/>
  <c r="H16" i="7"/>
  <c r="E16" i="7"/>
  <c r="H15" i="7"/>
  <c r="E15" i="7"/>
  <c r="I15" i="7" s="1"/>
  <c r="H14" i="7"/>
  <c r="F14" i="7"/>
  <c r="E14" i="7"/>
  <c r="I14" i="7" s="1"/>
  <c r="C15" i="6" s="1"/>
  <c r="D15" i="6" s="1"/>
  <c r="D14" i="7"/>
  <c r="D18" i="7" s="1"/>
  <c r="H13" i="7"/>
  <c r="E13" i="7"/>
  <c r="H12" i="7"/>
  <c r="I12" i="7" s="1"/>
  <c r="C13" i="6" s="1"/>
  <c r="E12" i="7"/>
  <c r="I11" i="7"/>
  <c r="C12" i="6" s="1"/>
  <c r="D12" i="6" s="1"/>
  <c r="H11" i="7"/>
  <c r="E11" i="7"/>
  <c r="H10" i="7"/>
  <c r="I10" i="7" s="1"/>
  <c r="C11" i="6" s="1"/>
  <c r="E10" i="7"/>
  <c r="H9" i="7"/>
  <c r="E9" i="7"/>
  <c r="I9" i="7" s="1"/>
  <c r="C10" i="6" s="1"/>
  <c r="H8" i="7"/>
  <c r="E8" i="7"/>
  <c r="I8" i="7" s="1"/>
  <c r="C9" i="6" s="1"/>
  <c r="D9" i="6" s="1"/>
  <c r="I7" i="7"/>
  <c r="C8" i="6" s="1"/>
  <c r="H7" i="7"/>
  <c r="E7" i="7"/>
  <c r="H6" i="7"/>
  <c r="E6" i="7"/>
  <c r="I6" i="7" s="1"/>
  <c r="C7" i="6" s="1"/>
  <c r="D7" i="6" s="1"/>
  <c r="H5" i="7"/>
  <c r="E5" i="7"/>
  <c r="G37" i="6"/>
  <c r="G122" i="8" s="1"/>
  <c r="F37" i="6"/>
  <c r="E37" i="6"/>
  <c r="D37" i="6"/>
  <c r="C36" i="6"/>
  <c r="C35" i="6"/>
  <c r="D34" i="6"/>
  <c r="A29" i="6"/>
  <c r="D25" i="6"/>
  <c r="C25" i="6"/>
  <c r="E19" i="6"/>
  <c r="B19" i="6"/>
  <c r="B18" i="6"/>
  <c r="A18" i="6"/>
  <c r="C16" i="6"/>
  <c r="D16" i="6" s="1"/>
  <c r="B15" i="6"/>
  <c r="A15" i="6"/>
  <c r="B14" i="6"/>
  <c r="A14" i="6"/>
  <c r="D13" i="6"/>
  <c r="B13" i="6"/>
  <c r="A13" i="6"/>
  <c r="B12" i="6"/>
  <c r="A12" i="6"/>
  <c r="D11" i="6"/>
  <c r="B11" i="6"/>
  <c r="A11" i="6"/>
  <c r="D10" i="6"/>
  <c r="B10" i="6"/>
  <c r="A10" i="6"/>
  <c r="B9" i="6"/>
  <c r="A9" i="6"/>
  <c r="D8" i="6"/>
  <c r="B8" i="6"/>
  <c r="A8" i="6"/>
  <c r="B7" i="6"/>
  <c r="A7" i="6"/>
  <c r="B6" i="6"/>
  <c r="A6" i="6"/>
  <c r="F18" i="5"/>
  <c r="F16" i="5"/>
  <c r="F15" i="5"/>
  <c r="D89" i="4"/>
  <c r="C89" i="4"/>
  <c r="B89" i="4"/>
  <c r="D84" i="4"/>
  <c r="C84" i="4"/>
  <c r="B84" i="4"/>
  <c r="D73" i="4"/>
  <c r="D68" i="4"/>
  <c r="C68" i="4"/>
  <c r="B68" i="4"/>
  <c r="B66" i="4"/>
  <c r="D61" i="4"/>
  <c r="C61" i="4"/>
  <c r="B61" i="4"/>
  <c r="D42" i="4"/>
  <c r="C42" i="4"/>
  <c r="B42" i="4"/>
  <c r="D33" i="4"/>
  <c r="C33" i="4"/>
  <c r="B33" i="4"/>
  <c r="C27" i="4"/>
  <c r="D23" i="4"/>
  <c r="C21" i="4"/>
  <c r="D13" i="4"/>
  <c r="D12" i="4"/>
  <c r="C12" i="4"/>
  <c r="B12" i="4"/>
  <c r="D4" i="4"/>
  <c r="C4" i="4"/>
  <c r="B4" i="4"/>
  <c r="A47" i="3"/>
  <c r="M46" i="3"/>
  <c r="I46" i="3"/>
  <c r="G46" i="3"/>
  <c r="F46" i="3"/>
  <c r="K46" i="3" s="1"/>
  <c r="D46" i="3"/>
  <c r="C46" i="3"/>
  <c r="B46" i="3"/>
  <c r="A46" i="3"/>
  <c r="I45" i="3"/>
  <c r="H45" i="3"/>
  <c r="D45" i="3"/>
  <c r="D27" i="4" s="1"/>
  <c r="C45" i="3"/>
  <c r="B45" i="3"/>
  <c r="B27" i="4" s="1"/>
  <c r="A45" i="3"/>
  <c r="A44" i="3"/>
  <c r="A43" i="3"/>
  <c r="A42" i="3"/>
  <c r="A41" i="3"/>
  <c r="D40" i="3"/>
  <c r="C40" i="3"/>
  <c r="M40" i="3" s="1"/>
  <c r="B40" i="3"/>
  <c r="B22" i="4" s="1"/>
  <c r="A40" i="3"/>
  <c r="I39" i="3"/>
  <c r="G39" i="3"/>
  <c r="D39" i="3"/>
  <c r="M39" i="3" s="1"/>
  <c r="C39" i="3"/>
  <c r="L39" i="3" s="1"/>
  <c r="B39" i="3"/>
  <c r="B21" i="4" s="1"/>
  <c r="A39" i="3"/>
  <c r="A38" i="3"/>
  <c r="A37" i="3"/>
  <c r="I36" i="3"/>
  <c r="B36" i="3"/>
  <c r="B18" i="4" s="1"/>
  <c r="A36" i="3"/>
  <c r="D35" i="3"/>
  <c r="I35" i="3" s="1"/>
  <c r="C35" i="3"/>
  <c r="M35" i="3" s="1"/>
  <c r="B35" i="3"/>
  <c r="G35" i="3" s="1"/>
  <c r="A35" i="3"/>
  <c r="D34" i="3"/>
  <c r="M34" i="3" s="1"/>
  <c r="C34" i="3"/>
  <c r="B34" i="3"/>
  <c r="G34" i="3" s="1"/>
  <c r="A34" i="3"/>
  <c r="G33" i="3"/>
  <c r="D33" i="3"/>
  <c r="I33" i="3" s="1"/>
  <c r="C33" i="3"/>
  <c r="L33" i="3" s="1"/>
  <c r="B33" i="3"/>
  <c r="A33" i="3"/>
  <c r="H32" i="3"/>
  <c r="C32" i="3"/>
  <c r="A32" i="3"/>
  <c r="A31" i="3"/>
  <c r="A30" i="3"/>
  <c r="I29" i="3"/>
  <c r="H29" i="3"/>
  <c r="D29" i="3"/>
  <c r="M29" i="3" s="1"/>
  <c r="C29" i="3"/>
  <c r="B29" i="3"/>
  <c r="L29" i="3" s="1"/>
  <c r="D28" i="3"/>
  <c r="M28" i="3" s="1"/>
  <c r="C28" i="3"/>
  <c r="B28" i="3"/>
  <c r="L28" i="3" s="1"/>
  <c r="A27" i="3"/>
  <c r="L26" i="3"/>
  <c r="I26" i="3"/>
  <c r="D26" i="3"/>
  <c r="C26" i="3"/>
  <c r="M26" i="3" s="1"/>
  <c r="B26" i="3"/>
  <c r="G26" i="3" s="1"/>
  <c r="A26" i="3"/>
  <c r="H25" i="3"/>
  <c r="D25" i="3"/>
  <c r="C25" i="3"/>
  <c r="B25" i="3"/>
  <c r="A25" i="3"/>
  <c r="M24" i="3"/>
  <c r="L24" i="3"/>
  <c r="I24" i="3"/>
  <c r="H24" i="3"/>
  <c r="G24" i="3"/>
  <c r="D24" i="3"/>
  <c r="C24" i="3"/>
  <c r="B24" i="3"/>
  <c r="A22" i="3"/>
  <c r="A21" i="3"/>
  <c r="C20" i="3"/>
  <c r="D19" i="3"/>
  <c r="C19" i="3"/>
  <c r="L19" i="3" s="1"/>
  <c r="B19" i="3"/>
  <c r="M18" i="3"/>
  <c r="D18" i="3"/>
  <c r="C18" i="3"/>
  <c r="L18" i="3" s="1"/>
  <c r="B18" i="3"/>
  <c r="D17" i="3"/>
  <c r="M17" i="3" s="1"/>
  <c r="C17" i="3"/>
  <c r="L17" i="3" s="1"/>
  <c r="B17" i="3"/>
  <c r="C16" i="3"/>
  <c r="B16" i="3"/>
  <c r="D14" i="3"/>
  <c r="D13" i="3"/>
  <c r="C13" i="3"/>
  <c r="B13" i="3"/>
  <c r="D12" i="3"/>
  <c r="M12" i="3" s="1"/>
  <c r="C12" i="3"/>
  <c r="B12" i="3"/>
  <c r="D9" i="3"/>
  <c r="M9" i="3" s="1"/>
  <c r="C9" i="3"/>
  <c r="B9" i="3"/>
  <c r="D7" i="3"/>
  <c r="M7" i="3" s="1"/>
  <c r="C7" i="3"/>
  <c r="B7" i="3"/>
  <c r="D6" i="3"/>
  <c r="M3" i="3"/>
  <c r="L3" i="3"/>
  <c r="I3" i="3"/>
  <c r="H3" i="3"/>
  <c r="G3" i="3"/>
  <c r="D3" i="3"/>
  <c r="C3" i="3"/>
  <c r="B3" i="3"/>
  <c r="D47" i="2"/>
  <c r="C47" i="2"/>
  <c r="B47" i="2"/>
  <c r="D46" i="2"/>
  <c r="C46" i="2"/>
  <c r="B46" i="2"/>
  <c r="D45" i="2"/>
  <c r="D41" i="3" s="1"/>
  <c r="C45" i="2"/>
  <c r="C41" i="3" s="1"/>
  <c r="B45" i="2"/>
  <c r="B41" i="3" s="1"/>
  <c r="D39" i="2"/>
  <c r="D38" i="2"/>
  <c r="D37" i="2"/>
  <c r="D37" i="3" s="1"/>
  <c r="D36" i="2"/>
  <c r="D36" i="3" s="1"/>
  <c r="D18" i="4" s="1"/>
  <c r="C36" i="2"/>
  <c r="B36" i="2"/>
  <c r="D32" i="2"/>
  <c r="D32" i="3" s="1"/>
  <c r="C32" i="2"/>
  <c r="C39" i="2" s="1"/>
  <c r="B32" i="2"/>
  <c r="C27" i="2"/>
  <c r="C26" i="2"/>
  <c r="C25" i="2"/>
  <c r="D24" i="2"/>
  <c r="D30" i="3" s="1"/>
  <c r="C24" i="2"/>
  <c r="C49" i="2" s="1"/>
  <c r="C43" i="3" s="1"/>
  <c r="B24" i="2"/>
  <c r="B30" i="3" s="1"/>
  <c r="B15" i="4" s="1"/>
  <c r="D13" i="2"/>
  <c r="D14" i="8" s="1"/>
  <c r="C13" i="2"/>
  <c r="C27" i="3" s="1"/>
  <c r="B13" i="2"/>
  <c r="B27" i="3" s="1"/>
  <c r="D5" i="2"/>
  <c r="C5" i="2"/>
  <c r="B5" i="2"/>
  <c r="C89" i="1"/>
  <c r="D85" i="1"/>
  <c r="C85" i="1"/>
  <c r="F11" i="5" s="1"/>
  <c r="B85" i="1"/>
  <c r="D82" i="1"/>
  <c r="C82" i="1"/>
  <c r="F10" i="5" s="1"/>
  <c r="B82" i="1"/>
  <c r="D75" i="1"/>
  <c r="C75" i="1"/>
  <c r="F17" i="5" s="1"/>
  <c r="B75" i="1"/>
  <c r="D68" i="1"/>
  <c r="D89" i="1" s="1"/>
  <c r="D20" i="3" s="1"/>
  <c r="C68" i="1"/>
  <c r="B68" i="1"/>
  <c r="B89" i="1" s="1"/>
  <c r="B20" i="3" s="1"/>
  <c r="D63" i="1"/>
  <c r="C63" i="1"/>
  <c r="B63" i="1"/>
  <c r="D60" i="1"/>
  <c r="C60" i="1"/>
  <c r="B60" i="1"/>
  <c r="B56" i="1" s="1"/>
  <c r="B15" i="3" s="1"/>
  <c r="D57" i="1"/>
  <c r="C57" i="1"/>
  <c r="C56" i="1" s="1"/>
  <c r="C15" i="3" s="1"/>
  <c r="B57" i="1"/>
  <c r="D56" i="1"/>
  <c r="D15" i="3" s="1"/>
  <c r="D54" i="1"/>
  <c r="C54" i="1"/>
  <c r="B54" i="1"/>
  <c r="B43" i="1"/>
  <c r="D42" i="1"/>
  <c r="D94" i="1" s="1"/>
  <c r="C42" i="1"/>
  <c r="C94" i="1" s="1"/>
  <c r="C41" i="1"/>
  <c r="C14" i="3" s="1"/>
  <c r="B41" i="1"/>
  <c r="B42" i="1" s="1"/>
  <c r="D30" i="1"/>
  <c r="D8" i="3" s="1"/>
  <c r="C30" i="1"/>
  <c r="C8" i="3" s="1"/>
  <c r="B30" i="1"/>
  <c r="B8" i="3" s="1"/>
  <c r="C29" i="1"/>
  <c r="D25" i="1"/>
  <c r="D29" i="1" s="1"/>
  <c r="D43" i="1" s="1"/>
  <c r="D44" i="1" s="1"/>
  <c r="C25" i="1"/>
  <c r="C6" i="3" s="1"/>
  <c r="B25" i="1"/>
  <c r="B29" i="1" s="1"/>
  <c r="B93" i="1" s="1"/>
  <c r="D16" i="1"/>
  <c r="D18" i="1" s="1"/>
  <c r="B16" i="1"/>
  <c r="B18" i="1" s="1"/>
  <c r="C11" i="1"/>
  <c r="C10" i="1"/>
  <c r="C9" i="1"/>
  <c r="C16" i="1" s="1"/>
  <c r="C18" i="1" s="1"/>
  <c r="C93" i="1" l="1"/>
  <c r="C4" i="3"/>
  <c r="C92" i="1"/>
  <c r="L15" i="3"/>
  <c r="D19" i="4"/>
  <c r="I37" i="3"/>
  <c r="D35" i="4" s="1"/>
  <c r="B94" i="1"/>
  <c r="C25" i="4"/>
  <c r="L43" i="3"/>
  <c r="H43" i="3"/>
  <c r="C23" i="4"/>
  <c r="H41" i="3"/>
  <c r="C36" i="4" s="1"/>
  <c r="L41" i="3"/>
  <c r="C43" i="1"/>
  <c r="I43" i="1" s="1"/>
  <c r="L14" i="3"/>
  <c r="M15" i="3"/>
  <c r="C79" i="4"/>
  <c r="C65" i="4"/>
  <c r="C5" i="3"/>
  <c r="B92" i="4"/>
  <c r="M20" i="3"/>
  <c r="B32" i="3"/>
  <c r="B39" i="2"/>
  <c r="B38" i="2"/>
  <c r="B37" i="2"/>
  <c r="B37" i="3" s="1"/>
  <c r="M14" i="3"/>
  <c r="B92" i="1"/>
  <c r="B44" i="1"/>
  <c r="B4" i="3"/>
  <c r="B70" i="4" s="1"/>
  <c r="L8" i="3"/>
  <c r="E14" i="8"/>
  <c r="D12" i="8"/>
  <c r="C31" i="3"/>
  <c r="D4" i="3"/>
  <c r="D93" i="1"/>
  <c r="D92" i="1"/>
  <c r="M8" i="3"/>
  <c r="D17" i="4"/>
  <c r="I32" i="3"/>
  <c r="M32" i="3"/>
  <c r="B23" i="4"/>
  <c r="G41" i="3"/>
  <c r="B36" i="4" s="1"/>
  <c r="I30" i="3"/>
  <c r="D15" i="4"/>
  <c r="D49" i="2"/>
  <c r="D43" i="3" s="1"/>
  <c r="D79" i="4"/>
  <c r="D65" i="4"/>
  <c r="B81" i="4"/>
  <c r="C92" i="4"/>
  <c r="L20" i="3"/>
  <c r="C6" i="4"/>
  <c r="C74" i="4"/>
  <c r="C73" i="4"/>
  <c r="C72" i="4"/>
  <c r="C70" i="4"/>
  <c r="L32" i="3"/>
  <c r="C17" i="4"/>
  <c r="H40" i="3"/>
  <c r="C36" i="8"/>
  <c r="C186" i="8"/>
  <c r="B25" i="2"/>
  <c r="D27" i="2"/>
  <c r="C37" i="2"/>
  <c r="C37" i="3" s="1"/>
  <c r="D5" i="3"/>
  <c r="D71" i="4" s="1"/>
  <c r="C82" i="4"/>
  <c r="L9" i="3"/>
  <c r="C67" i="4"/>
  <c r="L13" i="3"/>
  <c r="G36" i="3"/>
  <c r="D21" i="4"/>
  <c r="E50" i="8"/>
  <c r="F50" i="8" s="1"/>
  <c r="G50" i="8" s="1"/>
  <c r="D153" i="8"/>
  <c r="D81" i="4"/>
  <c r="D67" i="4"/>
  <c r="C34" i="6"/>
  <c r="D42" i="6"/>
  <c r="C106" i="11"/>
  <c r="C42" i="11"/>
  <c r="C40" i="11" s="1"/>
  <c r="C36" i="11" s="1"/>
  <c r="C60" i="11" s="1"/>
  <c r="D148" i="8"/>
  <c r="C14" i="4"/>
  <c r="L27" i="3"/>
  <c r="B26" i="2"/>
  <c r="C38" i="2"/>
  <c r="I41" i="3"/>
  <c r="D36" i="4" s="1"/>
  <c r="M41" i="3"/>
  <c r="C48" i="2"/>
  <c r="D16" i="3"/>
  <c r="D92" i="4" s="1"/>
  <c r="M25" i="3"/>
  <c r="H28" i="3"/>
  <c r="H34" i="3"/>
  <c r="H35" i="3"/>
  <c r="M45" i="3"/>
  <c r="D88" i="8"/>
  <c r="E32" i="8"/>
  <c r="E30" i="8" s="1"/>
  <c r="D25" i="2"/>
  <c r="D48" i="2"/>
  <c r="C66" i="4"/>
  <c r="L7" i="3"/>
  <c r="C80" i="4"/>
  <c r="C11" i="3"/>
  <c r="M13" i="3"/>
  <c r="D27" i="3"/>
  <c r="I28" i="3"/>
  <c r="L35" i="3"/>
  <c r="B80" i="4"/>
  <c r="D39" i="8"/>
  <c r="C92" i="8"/>
  <c r="E157" i="8"/>
  <c r="E100" i="8"/>
  <c r="E159" i="8"/>
  <c r="B14" i="4"/>
  <c r="G27" i="3"/>
  <c r="M6" i="3"/>
  <c r="C94" i="4"/>
  <c r="L16" i="3"/>
  <c r="L25" i="3"/>
  <c r="B67" i="4"/>
  <c r="D26" i="2"/>
  <c r="D106" i="8"/>
  <c r="C36" i="3"/>
  <c r="B49" i="2"/>
  <c r="B43" i="3" s="1"/>
  <c r="B6" i="3"/>
  <c r="D66" i="4"/>
  <c r="D80" i="4"/>
  <c r="D11" i="3"/>
  <c r="B14" i="3"/>
  <c r="H27" i="3"/>
  <c r="C30" i="3"/>
  <c r="H33" i="3"/>
  <c r="I34" i="3"/>
  <c r="L40" i="3"/>
  <c r="C22" i="4"/>
  <c r="C81" i="4"/>
  <c r="E163" i="8"/>
  <c r="D87" i="4"/>
  <c r="D82" i="4"/>
  <c r="F156" i="8"/>
  <c r="C89" i="8"/>
  <c r="B48" i="2"/>
  <c r="L12" i="3"/>
  <c r="F190" i="8"/>
  <c r="E12" i="9"/>
  <c r="E17" i="9" s="1"/>
  <c r="F12" i="5"/>
  <c r="B27" i="2"/>
  <c r="M19" i="3"/>
  <c r="B74" i="4"/>
  <c r="G30" i="3"/>
  <c r="D22" i="4"/>
  <c r="I40" i="3"/>
  <c r="L46" i="3"/>
  <c r="H46" i="3"/>
  <c r="C13" i="4"/>
  <c r="B82" i="4"/>
  <c r="I25" i="3"/>
  <c r="H26" i="3"/>
  <c r="G28" i="3"/>
  <c r="G29" i="3"/>
  <c r="M33" i="3"/>
  <c r="L34" i="3"/>
  <c r="G45" i="3"/>
  <c r="B13" i="4"/>
  <c r="G49" i="8"/>
  <c r="G47" i="8" s="1"/>
  <c r="F47" i="8"/>
  <c r="C47" i="8" s="1"/>
  <c r="G146" i="8"/>
  <c r="F103" i="8"/>
  <c r="F163" i="8" s="1"/>
  <c r="G105" i="8"/>
  <c r="G103" i="8" s="1"/>
  <c r="C32" i="9"/>
  <c r="E32" i="9" s="1"/>
  <c r="B72" i="4"/>
  <c r="H39" i="3"/>
  <c r="G40" i="3"/>
  <c r="L45" i="3"/>
  <c r="E18" i="7"/>
  <c r="I5" i="7"/>
  <c r="D18" i="8"/>
  <c r="C21" i="8"/>
  <c r="E39" i="8"/>
  <c r="E51" i="8" s="1"/>
  <c r="F84" i="8"/>
  <c r="F82" i="8" s="1"/>
  <c r="F153" i="8" s="1"/>
  <c r="F157" i="8"/>
  <c r="D122" i="8"/>
  <c r="C37" i="6"/>
  <c r="H18" i="7"/>
  <c r="D45" i="8"/>
  <c r="E41" i="11"/>
  <c r="E153" i="8"/>
  <c r="E180" i="8"/>
  <c r="E182" i="8" s="1"/>
  <c r="E183" i="8" s="1"/>
  <c r="E192" i="8" s="1"/>
  <c r="E124" i="8"/>
  <c r="E125" i="8" s="1"/>
  <c r="E133" i="8" s="1"/>
  <c r="C54" i="9"/>
  <c r="E54" i="9" s="1"/>
  <c r="C50" i="9"/>
  <c r="E50" i="9" s="1"/>
  <c r="C46" i="9"/>
  <c r="E46" i="9" s="1"/>
  <c r="C42" i="9"/>
  <c r="E42" i="9" s="1"/>
  <c r="C38" i="9"/>
  <c r="E38" i="9" s="1"/>
  <c r="C34" i="9"/>
  <c r="E34" i="9" s="1"/>
  <c r="C30" i="9"/>
  <c r="E30" i="9" s="1"/>
  <c r="C26" i="9"/>
  <c r="E26" i="9" s="1"/>
  <c r="C53" i="9"/>
  <c r="E53" i="9" s="1"/>
  <c r="C49" i="9"/>
  <c r="E49" i="9" s="1"/>
  <c r="C45" i="9"/>
  <c r="E45" i="9" s="1"/>
  <c r="C41" i="9"/>
  <c r="E41" i="9" s="1"/>
  <c r="C37" i="9"/>
  <c r="E37" i="9" s="1"/>
  <c r="C33" i="9"/>
  <c r="E33" i="9" s="1"/>
  <c r="C29" i="9"/>
  <c r="E29" i="9" s="1"/>
  <c r="C25" i="9"/>
  <c r="C55" i="9"/>
  <c r="E55" i="9" s="1"/>
  <c r="C39" i="9"/>
  <c r="E39" i="9" s="1"/>
  <c r="C52" i="9"/>
  <c r="E52" i="9" s="1"/>
  <c r="C36" i="9"/>
  <c r="E36" i="9" s="1"/>
  <c r="C51" i="9"/>
  <c r="E51" i="9" s="1"/>
  <c r="C35" i="9"/>
  <c r="E35" i="9" s="1"/>
  <c r="C47" i="9"/>
  <c r="E47" i="9" s="1"/>
  <c r="C31" i="9"/>
  <c r="E31" i="9" s="1"/>
  <c r="C44" i="9"/>
  <c r="E44" i="9" s="1"/>
  <c r="C28" i="9"/>
  <c r="E28" i="9" s="1"/>
  <c r="D72" i="4"/>
  <c r="D74" i="4"/>
  <c r="B73" i="4"/>
  <c r="B94" i="4"/>
  <c r="E24" i="6"/>
  <c r="E73" i="8"/>
  <c r="E71" i="8" s="1"/>
  <c r="E148" i="8" s="1"/>
  <c r="G21" i="8"/>
  <c r="E45" i="8"/>
  <c r="F41" i="11"/>
  <c r="F180" i="8"/>
  <c r="F182" i="8" s="1"/>
  <c r="F183" i="8" s="1"/>
  <c r="F124" i="8"/>
  <c r="F125" i="8" s="1"/>
  <c r="F133" i="8" s="1"/>
  <c r="G25" i="3"/>
  <c r="I13" i="7"/>
  <c r="C14" i="6" s="1"/>
  <c r="D14" i="6" s="1"/>
  <c r="I16" i="7"/>
  <c r="C17" i="6" s="1"/>
  <c r="D17" i="6" s="1"/>
  <c r="I19" i="7"/>
  <c r="F29" i="8"/>
  <c r="G29" i="8" s="1"/>
  <c r="C29" i="8"/>
  <c r="G42" i="8"/>
  <c r="G40" i="8" s="1"/>
  <c r="G45" i="8" s="1"/>
  <c r="F40" i="8"/>
  <c r="F45" i="8" s="1"/>
  <c r="E74" i="8"/>
  <c r="F12" i="9"/>
  <c r="F17" i="9" s="1"/>
  <c r="G190" i="8"/>
  <c r="D33" i="11"/>
  <c r="C9" i="8"/>
  <c r="E15" i="8"/>
  <c r="C15" i="8" s="1"/>
  <c r="G28" i="8"/>
  <c r="G26" i="8" s="1"/>
  <c r="C26" i="8" s="1"/>
  <c r="C46" i="8"/>
  <c r="D147" i="8"/>
  <c r="D74" i="8"/>
  <c r="D156" i="8"/>
  <c r="C156" i="8" s="1"/>
  <c r="G157" i="8"/>
  <c r="D106" i="11"/>
  <c r="D42" i="11"/>
  <c r="D40" i="11"/>
  <c r="D36" i="11" s="1"/>
  <c r="D79" i="8"/>
  <c r="E156" i="8"/>
  <c r="D96" i="8"/>
  <c r="F98" i="8"/>
  <c r="F96" i="8" s="1"/>
  <c r="E102" i="8"/>
  <c r="E190" i="8"/>
  <c r="D12" i="9"/>
  <c r="D17" i="9" s="1"/>
  <c r="D146" i="8"/>
  <c r="G156" i="8"/>
  <c r="D162" i="8"/>
  <c r="E32" i="11"/>
  <c r="E33" i="11" s="1"/>
  <c r="E58" i="11"/>
  <c r="D55" i="11"/>
  <c r="C119" i="11"/>
  <c r="C127" i="11" s="1"/>
  <c r="E146" i="8"/>
  <c r="D68" i="11"/>
  <c r="D66" i="11" s="1"/>
  <c r="D163" i="8"/>
  <c r="F33" i="11"/>
  <c r="G180" i="8"/>
  <c r="G182" i="8" s="1"/>
  <c r="G183" i="8" s="1"/>
  <c r="G192" i="8" s="1"/>
  <c r="G124" i="8"/>
  <c r="G125" i="8" s="1"/>
  <c r="G133" i="8" s="1"/>
  <c r="F146" i="8"/>
  <c r="F85" i="8"/>
  <c r="D157" i="8"/>
  <c r="C157" i="8" s="1"/>
  <c r="C131" i="8"/>
  <c r="D132" i="8"/>
  <c r="C132" i="8" s="1"/>
  <c r="E154" i="8"/>
  <c r="C189" i="8"/>
  <c r="D190" i="8"/>
  <c r="C190" i="8" s="1"/>
  <c r="C12" i="9"/>
  <c r="E162" i="8" l="1"/>
  <c r="F102" i="8"/>
  <c r="D132" i="11"/>
  <c r="D110" i="11"/>
  <c r="B79" i="4"/>
  <c r="B65" i="4"/>
  <c r="B5" i="3"/>
  <c r="L11" i="3"/>
  <c r="C22" i="3"/>
  <c r="F88" i="8"/>
  <c r="F86" i="8" s="1"/>
  <c r="E88" i="8"/>
  <c r="E86" i="8" s="1"/>
  <c r="E155" i="8" s="1"/>
  <c r="D86" i="8"/>
  <c r="G88" i="8"/>
  <c r="G86" i="8" s="1"/>
  <c r="C87" i="4"/>
  <c r="D63" i="4"/>
  <c r="D77" i="4"/>
  <c r="D21" i="3"/>
  <c r="M4" i="3"/>
  <c r="D70" i="4"/>
  <c r="D10" i="3"/>
  <c r="D93" i="11"/>
  <c r="F192" i="8"/>
  <c r="E25" i="9"/>
  <c r="E56" i="9" s="1"/>
  <c r="B66" i="9" s="1"/>
  <c r="B68" i="9" s="1"/>
  <c r="C56" i="9"/>
  <c r="F19" i="5"/>
  <c r="C21" i="5"/>
  <c r="C15" i="4"/>
  <c r="L30" i="3"/>
  <c r="H30" i="3"/>
  <c r="G43" i="3"/>
  <c r="B25" i="4"/>
  <c r="D51" i="8"/>
  <c r="C132" i="11"/>
  <c r="C110" i="11"/>
  <c r="C50" i="8"/>
  <c r="D25" i="4"/>
  <c r="I43" i="3"/>
  <c r="M43" i="3"/>
  <c r="B17" i="4"/>
  <c r="G32" i="3"/>
  <c r="C18" i="4"/>
  <c r="H36" i="3"/>
  <c r="L36" i="3"/>
  <c r="C42" i="2"/>
  <c r="D6" i="4"/>
  <c r="G98" i="8"/>
  <c r="G96" i="8" s="1"/>
  <c r="D60" i="11"/>
  <c r="D119" i="11"/>
  <c r="D127" i="11" s="1"/>
  <c r="D109" i="8"/>
  <c r="D111" i="8"/>
  <c r="D149" i="8"/>
  <c r="C19" i="4"/>
  <c r="L37" i="3"/>
  <c r="H37" i="3"/>
  <c r="C35" i="4" s="1"/>
  <c r="C85" i="4"/>
  <c r="C78" i="4"/>
  <c r="L5" i="3"/>
  <c r="C64" i="4"/>
  <c r="C7" i="4"/>
  <c r="C10" i="4" s="1"/>
  <c r="C86" i="4"/>
  <c r="F58" i="11"/>
  <c r="F55" i="11" s="1"/>
  <c r="E55" i="11"/>
  <c r="C146" i="8"/>
  <c r="E111" i="8"/>
  <c r="E109" i="8"/>
  <c r="E106" i="11"/>
  <c r="E42" i="11"/>
  <c r="E40" i="11"/>
  <c r="E36" i="11" s="1"/>
  <c r="D180" i="8"/>
  <c r="C122" i="8"/>
  <c r="D124" i="8"/>
  <c r="I18" i="7"/>
  <c r="C6" i="6"/>
  <c r="D6" i="6" s="1"/>
  <c r="D52" i="2"/>
  <c r="D50" i="2"/>
  <c r="D51" i="2"/>
  <c r="D42" i="3"/>
  <c r="M30" i="3"/>
  <c r="C41" i="2"/>
  <c r="L4" i="3"/>
  <c r="C63" i="4"/>
  <c r="C77" i="4"/>
  <c r="C10" i="3"/>
  <c r="C21" i="3"/>
  <c r="C97" i="4" s="1"/>
  <c r="D53" i="8"/>
  <c r="D55" i="8"/>
  <c r="D52" i="8"/>
  <c r="D97" i="4"/>
  <c r="D22" i="3"/>
  <c r="D96" i="4"/>
  <c r="M11" i="3"/>
  <c r="I11" i="3"/>
  <c r="E101" i="8"/>
  <c r="E160" i="8"/>
  <c r="D14" i="4"/>
  <c r="I27" i="3"/>
  <c r="M27" i="3"/>
  <c r="D40" i="2"/>
  <c r="D38" i="3" s="1"/>
  <c r="D41" i="2"/>
  <c r="D31" i="3"/>
  <c r="D42" i="2"/>
  <c r="B42" i="2"/>
  <c r="B31" i="3"/>
  <c r="B41" i="2"/>
  <c r="B40" i="2"/>
  <c r="B38" i="3" s="1"/>
  <c r="C8" i="4"/>
  <c r="H31" i="3"/>
  <c r="C34" i="4" s="1"/>
  <c r="C16" i="4"/>
  <c r="C24" i="7"/>
  <c r="C28" i="7"/>
  <c r="C26" i="7" s="1"/>
  <c r="C26" i="6" s="1"/>
  <c r="D26" i="6" s="1"/>
  <c r="D45" i="6"/>
  <c r="E42" i="6"/>
  <c r="D64" i="4"/>
  <c r="D78" i="4"/>
  <c r="D7" i="4"/>
  <c r="D10" i="4" s="1"/>
  <c r="D85" i="4"/>
  <c r="D86" i="4"/>
  <c r="M5" i="3"/>
  <c r="I5" i="3"/>
  <c r="F93" i="11"/>
  <c r="E106" i="8"/>
  <c r="E164" i="8" s="1"/>
  <c r="D164" i="8"/>
  <c r="C103" i="8"/>
  <c r="D77" i="8"/>
  <c r="E79" i="8"/>
  <c r="E77" i="8" s="1"/>
  <c r="E93" i="11"/>
  <c r="C45" i="8"/>
  <c r="B50" i="2"/>
  <c r="B52" i="2"/>
  <c r="B51" i="2"/>
  <c r="B42" i="3"/>
  <c r="C42" i="3"/>
  <c r="C52" i="2"/>
  <c r="C51" i="2"/>
  <c r="C50" i="2"/>
  <c r="B11" i="3"/>
  <c r="G37" i="3"/>
  <c r="B35" i="4" s="1"/>
  <c r="B19" i="4"/>
  <c r="L6" i="3"/>
  <c r="M37" i="3"/>
  <c r="C44" i="1"/>
  <c r="F159" i="8"/>
  <c r="F100" i="8"/>
  <c r="F106" i="11"/>
  <c r="F42" i="11"/>
  <c r="F40" i="11"/>
  <c r="F36" i="11" s="1"/>
  <c r="D94" i="4"/>
  <c r="D95" i="4"/>
  <c r="M16" i="3"/>
  <c r="I16" i="3"/>
  <c r="B77" i="4"/>
  <c r="B63" i="4"/>
  <c r="B10" i="3"/>
  <c r="B21" i="3"/>
  <c r="G4" i="3" s="1"/>
  <c r="D100" i="8"/>
  <c r="C96" i="8"/>
  <c r="D159" i="8"/>
  <c r="C17" i="9"/>
  <c r="B17" i="9" s="1"/>
  <c r="B12" i="9"/>
  <c r="E67" i="11"/>
  <c r="F154" i="8"/>
  <c r="C85" i="8"/>
  <c r="G85" i="8"/>
  <c r="F73" i="8"/>
  <c r="C40" i="8"/>
  <c r="G84" i="8"/>
  <c r="G82" i="8" s="1"/>
  <c r="G153" i="8" s="1"/>
  <c r="G163" i="8"/>
  <c r="C163" i="8" s="1"/>
  <c r="M36" i="3"/>
  <c r="F32" i="8"/>
  <c r="C153" i="8"/>
  <c r="C71" i="4"/>
  <c r="F14" i="8"/>
  <c r="E12" i="8"/>
  <c r="B6" i="4"/>
  <c r="C40" i="2"/>
  <c r="C38" i="3" s="1"/>
  <c r="D44" i="3" l="1"/>
  <c r="D55" i="2"/>
  <c r="H22" i="3"/>
  <c r="L22" i="3"/>
  <c r="B16" i="4"/>
  <c r="G31" i="3"/>
  <c r="B34" i="4" s="1"/>
  <c r="F162" i="8"/>
  <c r="G102" i="8"/>
  <c r="G162" i="8" s="1"/>
  <c r="E68" i="11"/>
  <c r="E66" i="11" s="1"/>
  <c r="F160" i="8"/>
  <c r="F101" i="8"/>
  <c r="D64" i="11"/>
  <c r="E152" i="8"/>
  <c r="E95" i="8"/>
  <c r="B44" i="3"/>
  <c r="B55" i="2"/>
  <c r="H4" i="3"/>
  <c r="I42" i="3"/>
  <c r="D24" i="4"/>
  <c r="M42" i="3"/>
  <c r="D53" i="4"/>
  <c r="D5" i="4"/>
  <c r="I21" i="3"/>
  <c r="M21" i="3"/>
  <c r="D69" i="4"/>
  <c r="D58" i="4"/>
  <c r="I12" i="3"/>
  <c r="I14" i="3"/>
  <c r="I6" i="3"/>
  <c r="D76" i="4"/>
  <c r="D62" i="4"/>
  <c r="I7" i="3"/>
  <c r="D93" i="4"/>
  <c r="I19" i="3"/>
  <c r="I20" i="3"/>
  <c r="I8" i="3"/>
  <c r="I9" i="3"/>
  <c r="I13" i="3"/>
  <c r="I18" i="3"/>
  <c r="I17" i="3"/>
  <c r="I15" i="3"/>
  <c r="M22" i="3"/>
  <c r="I22" i="3"/>
  <c r="D112" i="8"/>
  <c r="D167" i="8"/>
  <c r="C129" i="11"/>
  <c r="B97" i="4"/>
  <c r="B96" i="4"/>
  <c r="G11" i="3"/>
  <c r="B22" i="3"/>
  <c r="G22" i="3" s="1"/>
  <c r="B87" i="4"/>
  <c r="F67" i="11"/>
  <c r="G154" i="8"/>
  <c r="C154" i="8" s="1"/>
  <c r="D101" i="8"/>
  <c r="D160" i="8"/>
  <c r="C44" i="3"/>
  <c r="C55" i="2"/>
  <c r="C64" i="11"/>
  <c r="D152" i="8"/>
  <c r="D95" i="8"/>
  <c r="E45" i="6"/>
  <c r="F42" i="6"/>
  <c r="B20" i="4"/>
  <c r="G38" i="3"/>
  <c r="M38" i="3"/>
  <c r="I38" i="3"/>
  <c r="D20" i="4"/>
  <c r="C76" i="4"/>
  <c r="C58" i="4"/>
  <c r="C5" i="4"/>
  <c r="H21" i="3"/>
  <c r="C53" i="4"/>
  <c r="C62" i="4"/>
  <c r="H19" i="3"/>
  <c r="H17" i="3"/>
  <c r="H9" i="3"/>
  <c r="H20" i="3"/>
  <c r="H13" i="3"/>
  <c r="H18" i="3"/>
  <c r="L21" i="3"/>
  <c r="C93" i="4"/>
  <c r="H7" i="3"/>
  <c r="H12" i="3"/>
  <c r="H16" i="3"/>
  <c r="H6" i="3"/>
  <c r="C69" i="4"/>
  <c r="C95" i="4"/>
  <c r="H14" i="3"/>
  <c r="H15" i="3"/>
  <c r="H8" i="3"/>
  <c r="D182" i="8"/>
  <c r="C180" i="8"/>
  <c r="D169" i="8"/>
  <c r="H11" i="3"/>
  <c r="D129" i="11"/>
  <c r="B62" i="4"/>
  <c r="B5" i="4"/>
  <c r="G21" i="3"/>
  <c r="B76" i="4"/>
  <c r="B58" i="4"/>
  <c r="B53" i="4"/>
  <c r="G12" i="3"/>
  <c r="G17" i="3"/>
  <c r="B95" i="4"/>
  <c r="G8" i="3"/>
  <c r="G9" i="3"/>
  <c r="G7" i="3"/>
  <c r="G19" i="3"/>
  <c r="G16" i="3"/>
  <c r="G18" i="3"/>
  <c r="B93" i="4"/>
  <c r="G15" i="3"/>
  <c r="G13" i="3"/>
  <c r="G20" i="3"/>
  <c r="B69" i="4"/>
  <c r="C102" i="8"/>
  <c r="H42" i="3"/>
  <c r="L42" i="3"/>
  <c r="C24" i="4"/>
  <c r="G14" i="3"/>
  <c r="E132" i="11"/>
  <c r="E110" i="11"/>
  <c r="F60" i="11"/>
  <c r="F119" i="11"/>
  <c r="F127" i="11" s="1"/>
  <c r="D91" i="4"/>
  <c r="D90" i="4"/>
  <c r="I10" i="3"/>
  <c r="M10" i="3"/>
  <c r="D48" i="4"/>
  <c r="G155" i="8"/>
  <c r="C96" i="4"/>
  <c r="F30" i="8"/>
  <c r="G32" i="8"/>
  <c r="G30" i="8" s="1"/>
  <c r="G39" i="8" s="1"/>
  <c r="G51" i="8" s="1"/>
  <c r="L10" i="3"/>
  <c r="C90" i="4"/>
  <c r="C91" i="4"/>
  <c r="H10" i="3"/>
  <c r="C48" i="4"/>
  <c r="B91" i="4"/>
  <c r="G10" i="3"/>
  <c r="B48" i="4"/>
  <c r="B90" i="4"/>
  <c r="F132" i="11"/>
  <c r="F110" i="11"/>
  <c r="G42" i="3"/>
  <c r="B24" i="4"/>
  <c r="D57" i="8"/>
  <c r="D155" i="8"/>
  <c r="C155" i="8" s="1"/>
  <c r="C86" i="8"/>
  <c r="B86" i="4"/>
  <c r="B64" i="4"/>
  <c r="B78" i="4"/>
  <c r="B85" i="4"/>
  <c r="G5" i="3"/>
  <c r="B71" i="4"/>
  <c r="B7" i="4"/>
  <c r="B10" i="4" s="1"/>
  <c r="E60" i="11"/>
  <c r="E119" i="11"/>
  <c r="E127" i="11" s="1"/>
  <c r="E18" i="8"/>
  <c r="E147" i="8"/>
  <c r="E161" i="8"/>
  <c r="D75" i="11"/>
  <c r="C23" i="7"/>
  <c r="C19" i="6"/>
  <c r="D19" i="6" s="1"/>
  <c r="E112" i="8"/>
  <c r="H5" i="3"/>
  <c r="G159" i="8"/>
  <c r="G100" i="8"/>
  <c r="C68" i="9"/>
  <c r="I4" i="3"/>
  <c r="G6" i="3"/>
  <c r="C20" i="4"/>
  <c r="L38" i="3"/>
  <c r="H38" i="3"/>
  <c r="G14" i="8"/>
  <c r="G12" i="8" s="1"/>
  <c r="F12" i="8"/>
  <c r="F71" i="8"/>
  <c r="G73" i="8"/>
  <c r="G71" i="8" s="1"/>
  <c r="C159" i="8"/>
  <c r="C82" i="8"/>
  <c r="F79" i="8"/>
  <c r="F106" i="8"/>
  <c r="L31" i="3"/>
  <c r="M31" i="3"/>
  <c r="D16" i="4"/>
  <c r="I31" i="3"/>
  <c r="D34" i="4" s="1"/>
  <c r="D56" i="8"/>
  <c r="C124" i="8"/>
  <c r="D125" i="8"/>
  <c r="C8" i="9"/>
  <c r="D8" i="4"/>
  <c r="D9" i="4" s="1"/>
  <c r="F155" i="8"/>
  <c r="D68" i="9" l="1"/>
  <c r="D170" i="8"/>
  <c r="G148" i="8"/>
  <c r="G74" i="8"/>
  <c r="F39" i="8"/>
  <c r="C30" i="8"/>
  <c r="C57" i="2"/>
  <c r="C43" i="4"/>
  <c r="C47" i="3"/>
  <c r="C56" i="2"/>
  <c r="D112" i="11"/>
  <c r="D65" i="11"/>
  <c r="D63" i="11" s="1"/>
  <c r="D62" i="11" s="1"/>
  <c r="D86" i="11" s="1"/>
  <c r="D87" i="11" s="1"/>
  <c r="F45" i="6"/>
  <c r="G42" i="6"/>
  <c r="G45" i="6" s="1"/>
  <c r="C28" i="11"/>
  <c r="C31" i="11" s="1"/>
  <c r="C32" i="11" s="1"/>
  <c r="C25" i="7"/>
  <c r="D27" i="7" s="1"/>
  <c r="C24" i="6"/>
  <c r="D24" i="6" s="1"/>
  <c r="C29" i="7"/>
  <c r="C57" i="4"/>
  <c r="C52" i="4"/>
  <c r="G147" i="8"/>
  <c r="G18" i="8"/>
  <c r="G101" i="8"/>
  <c r="G160" i="8"/>
  <c r="C160" i="8" s="1"/>
  <c r="D76" i="11"/>
  <c r="D113" i="11" s="1"/>
  <c r="B8" i="4"/>
  <c r="C9" i="4" s="1"/>
  <c r="D57" i="4"/>
  <c r="D52" i="4"/>
  <c r="D161" i="8"/>
  <c r="C75" i="11"/>
  <c r="C101" i="8"/>
  <c r="D43" i="4"/>
  <c r="D47" i="3"/>
  <c r="D57" i="2"/>
  <c r="D56" i="2"/>
  <c r="F161" i="8"/>
  <c r="E75" i="11"/>
  <c r="F18" i="8"/>
  <c r="F147" i="8"/>
  <c r="E129" i="11"/>
  <c r="F164" i="8"/>
  <c r="G106" i="8"/>
  <c r="G164" i="8" s="1"/>
  <c r="C182" i="8"/>
  <c r="D183" i="8"/>
  <c r="D158" i="8"/>
  <c r="D107" i="8"/>
  <c r="B43" i="4"/>
  <c r="B47" i="3"/>
  <c r="B57" i="2"/>
  <c r="B56" i="2"/>
  <c r="D26" i="4"/>
  <c r="M44" i="3"/>
  <c r="I44" i="3"/>
  <c r="D37" i="4" s="1"/>
  <c r="F148" i="8"/>
  <c r="F74" i="8"/>
  <c r="C71" i="8"/>
  <c r="F129" i="11"/>
  <c r="C10" i="9"/>
  <c r="C125" i="8"/>
  <c r="D133" i="8"/>
  <c r="C133" i="8" s="1"/>
  <c r="F77" i="8"/>
  <c r="G79" i="8"/>
  <c r="G77" i="8" s="1"/>
  <c r="B52" i="4"/>
  <c r="B57" i="4"/>
  <c r="F68" i="11"/>
  <c r="F66" i="11"/>
  <c r="B26" i="4"/>
  <c r="G44" i="3"/>
  <c r="B37" i="4" s="1"/>
  <c r="C26" i="4"/>
  <c r="H44" i="3"/>
  <c r="C37" i="4" s="1"/>
  <c r="L44" i="3"/>
  <c r="C147" i="8"/>
  <c r="D59" i="8"/>
  <c r="E58" i="8" s="1"/>
  <c r="E55" i="8"/>
  <c r="E52" i="8"/>
  <c r="E53" i="8"/>
  <c r="E149" i="8"/>
  <c r="C112" i="11"/>
  <c r="C65" i="11"/>
  <c r="C63" i="11"/>
  <c r="C13" i="9"/>
  <c r="E158" i="8"/>
  <c r="E107" i="8"/>
  <c r="C162" i="8"/>
  <c r="C12" i="8"/>
  <c r="D94" i="11" l="1"/>
  <c r="D96" i="11" s="1"/>
  <c r="D88" i="11"/>
  <c r="E76" i="11"/>
  <c r="E113" i="11" s="1"/>
  <c r="G52" i="8"/>
  <c r="G53" i="8"/>
  <c r="G56" i="8" s="1"/>
  <c r="G55" i="8"/>
  <c r="E165" i="8"/>
  <c r="D11" i="9" s="1"/>
  <c r="E108" i="8"/>
  <c r="C18" i="8"/>
  <c r="D165" i="8"/>
  <c r="D108" i="8"/>
  <c r="C183" i="8"/>
  <c r="D192" i="8"/>
  <c r="C192" i="8" s="1"/>
  <c r="E56" i="8"/>
  <c r="E167" i="8"/>
  <c r="C106" i="8"/>
  <c r="F55" i="8"/>
  <c r="F53" i="8"/>
  <c r="C76" i="11"/>
  <c r="C113" i="11" s="1"/>
  <c r="C116" i="11" s="1"/>
  <c r="F75" i="11"/>
  <c r="G161" i="8"/>
  <c r="C161" i="8" s="1"/>
  <c r="D116" i="11"/>
  <c r="G109" i="8"/>
  <c r="G149" i="8"/>
  <c r="F8" i="9" s="1"/>
  <c r="G111" i="8"/>
  <c r="C28" i="4"/>
  <c r="H47" i="3"/>
  <c r="C38" i="4" s="1"/>
  <c r="C48" i="3"/>
  <c r="L47" i="3"/>
  <c r="C49" i="4"/>
  <c r="C45" i="4"/>
  <c r="C55" i="8"/>
  <c r="E169" i="8"/>
  <c r="G95" i="8"/>
  <c r="F64" i="11"/>
  <c r="G152" i="8"/>
  <c r="F95" i="8"/>
  <c r="E64" i="11"/>
  <c r="F152" i="8"/>
  <c r="C152" i="8" s="1"/>
  <c r="C77" i="8"/>
  <c r="F109" i="8"/>
  <c r="F149" i="8"/>
  <c r="E8" i="9" s="1"/>
  <c r="E10" i="9" s="1"/>
  <c r="F111" i="8"/>
  <c r="C74" i="8"/>
  <c r="B45" i="4"/>
  <c r="B49" i="4"/>
  <c r="B47" i="4"/>
  <c r="B51" i="4" s="1"/>
  <c r="C164" i="8"/>
  <c r="E57" i="8"/>
  <c r="C62" i="11"/>
  <c r="C86" i="11" s="1"/>
  <c r="C87" i="11" s="1"/>
  <c r="C94" i="11" s="1"/>
  <c r="C148" i="8"/>
  <c r="D28" i="4"/>
  <c r="I47" i="3"/>
  <c r="D38" i="4" s="1"/>
  <c r="D48" i="3"/>
  <c r="M47" i="3"/>
  <c r="E68" i="9"/>
  <c r="B28" i="4"/>
  <c r="B48" i="3"/>
  <c r="G47" i="3"/>
  <c r="B38" i="4" s="1"/>
  <c r="E59" i="8"/>
  <c r="F58" i="8" s="1"/>
  <c r="D8" i="9"/>
  <c r="D49" i="4"/>
  <c r="D45" i="4"/>
  <c r="C29" i="6"/>
  <c r="D29" i="6" s="1"/>
  <c r="C13" i="11"/>
  <c r="C14" i="11" s="1"/>
  <c r="C22" i="11" s="1"/>
  <c r="C33" i="11" s="1"/>
  <c r="F51" i="8"/>
  <c r="C51" i="8" s="1"/>
  <c r="C39" i="8"/>
  <c r="C130" i="11" l="1"/>
  <c r="C131" i="11" s="1"/>
  <c r="C133" i="11" s="1"/>
  <c r="C117" i="11"/>
  <c r="C128" i="11" s="1"/>
  <c r="C88" i="11"/>
  <c r="C93" i="11"/>
  <c r="C96" i="11" s="1"/>
  <c r="C98" i="11" s="1"/>
  <c r="D97" i="11" s="1"/>
  <c r="D98" i="11" s="1"/>
  <c r="E97" i="11" s="1"/>
  <c r="F167" i="8"/>
  <c r="E13" i="9" s="1"/>
  <c r="F112" i="8"/>
  <c r="C109" i="8"/>
  <c r="D10" i="9"/>
  <c r="B8" i="9"/>
  <c r="F169" i="8"/>
  <c r="C111" i="8"/>
  <c r="F112" i="11"/>
  <c r="F65" i="11"/>
  <c r="F63" i="11"/>
  <c r="F62" i="11" s="1"/>
  <c r="F86" i="11" s="1"/>
  <c r="F87" i="11" s="1"/>
  <c r="F10" i="9"/>
  <c r="F52" i="8"/>
  <c r="I48" i="3"/>
  <c r="D29" i="4"/>
  <c r="D49" i="3"/>
  <c r="M48" i="3"/>
  <c r="G158" i="8"/>
  <c r="G107" i="8"/>
  <c r="G167" i="8"/>
  <c r="F13" i="9" s="1"/>
  <c r="G112" i="8"/>
  <c r="G170" i="8" s="1"/>
  <c r="D166" i="8"/>
  <c r="D113" i="8"/>
  <c r="C29" i="4"/>
  <c r="H48" i="3"/>
  <c r="C49" i="3"/>
  <c r="L48" i="3"/>
  <c r="G57" i="8"/>
  <c r="F113" i="11"/>
  <c r="F76" i="11"/>
  <c r="C53" i="8"/>
  <c r="E112" i="11"/>
  <c r="E116" i="11" s="1"/>
  <c r="E65" i="11"/>
  <c r="E63" i="11" s="1"/>
  <c r="E62" i="11" s="1"/>
  <c r="E86" i="11" s="1"/>
  <c r="E87" i="11" s="1"/>
  <c r="D13" i="9"/>
  <c r="B13" i="9" s="1"/>
  <c r="C167" i="8"/>
  <c r="D47" i="4"/>
  <c r="D51" i="4" s="1"/>
  <c r="F68" i="9"/>
  <c r="F107" i="8"/>
  <c r="F158" i="8"/>
  <c r="C158" i="8" s="1"/>
  <c r="C95" i="8"/>
  <c r="E170" i="8"/>
  <c r="D130" i="11"/>
  <c r="D131" i="11" s="1"/>
  <c r="D133" i="11" s="1"/>
  <c r="D117" i="11"/>
  <c r="D128" i="11" s="1"/>
  <c r="G48" i="3"/>
  <c r="B29" i="4"/>
  <c r="B49" i="3"/>
  <c r="C11" i="9"/>
  <c r="C149" i="8"/>
  <c r="C47" i="4"/>
  <c r="C51" i="4" s="1"/>
  <c r="G169" i="8"/>
  <c r="C169" i="8" s="1"/>
  <c r="F56" i="8"/>
  <c r="C56" i="8" s="1"/>
  <c r="E166" i="8"/>
  <c r="E113" i="8"/>
  <c r="E94" i="11" l="1"/>
  <c r="E96" i="11" s="1"/>
  <c r="E88" i="11"/>
  <c r="B10" i="9"/>
  <c r="C14" i="9"/>
  <c r="F15" i="9"/>
  <c r="F94" i="11"/>
  <c r="F96" i="11" s="1"/>
  <c r="F88" i="11"/>
  <c r="F170" i="8"/>
  <c r="C170" i="8" s="1"/>
  <c r="C112" i="8"/>
  <c r="E171" i="8"/>
  <c r="E195" i="8" s="1"/>
  <c r="E136" i="8"/>
  <c r="F116" i="11"/>
  <c r="E98" i="11"/>
  <c r="F97" i="11" s="1"/>
  <c r="F98" i="11" s="1"/>
  <c r="E130" i="11"/>
  <c r="E131" i="11" s="1"/>
  <c r="E133" i="11" s="1"/>
  <c r="E117" i="11"/>
  <c r="E128" i="11" s="1"/>
  <c r="C44" i="4"/>
  <c r="C30" i="4"/>
  <c r="H49" i="3"/>
  <c r="C40" i="4" s="1"/>
  <c r="L49" i="3"/>
  <c r="C50" i="3"/>
  <c r="G165" i="8"/>
  <c r="F11" i="9" s="1"/>
  <c r="F14" i="9" s="1"/>
  <c r="G108" i="8"/>
  <c r="D14" i="9"/>
  <c r="D15" i="9" s="1"/>
  <c r="D171" i="8"/>
  <c r="D136" i="8"/>
  <c r="B44" i="4"/>
  <c r="B30" i="4"/>
  <c r="G49" i="3"/>
  <c r="B40" i="4" s="1"/>
  <c r="B50" i="3"/>
  <c r="D44" i="4"/>
  <c r="D30" i="4"/>
  <c r="I49" i="3"/>
  <c r="D40" i="4" s="1"/>
  <c r="D50" i="3"/>
  <c r="M49" i="3"/>
  <c r="F165" i="8"/>
  <c r="F108" i="8"/>
  <c r="C107" i="8"/>
  <c r="G68" i="9"/>
  <c r="F57" i="8"/>
  <c r="C52" i="8"/>
  <c r="C61" i="9" l="1"/>
  <c r="C63" i="9" s="1"/>
  <c r="D16" i="9"/>
  <c r="F113" i="8"/>
  <c r="F166" i="8"/>
  <c r="C108" i="8"/>
  <c r="F130" i="11"/>
  <c r="F131" i="11" s="1"/>
  <c r="F133" i="11" s="1"/>
  <c r="F117" i="11"/>
  <c r="F128" i="11" s="1"/>
  <c r="B54" i="4"/>
  <c r="B59" i="4" s="1"/>
  <c r="B56" i="4"/>
  <c r="D138" i="8"/>
  <c r="E137" i="8" s="1"/>
  <c r="E138" i="8" s="1"/>
  <c r="F137" i="8" s="1"/>
  <c r="I50" i="3"/>
  <c r="D39" i="4" s="1"/>
  <c r="M50" i="3"/>
  <c r="D31" i="4"/>
  <c r="C15" i="9"/>
  <c r="F59" i="8"/>
  <c r="G58" i="8" s="1"/>
  <c r="G59" i="8" s="1"/>
  <c r="C57" i="8"/>
  <c r="D195" i="8"/>
  <c r="C56" i="4"/>
  <c r="C54" i="4"/>
  <c r="C59" i="4" s="1"/>
  <c r="C31" i="4"/>
  <c r="H50" i="3"/>
  <c r="C39" i="4" s="1"/>
  <c r="L50" i="3"/>
  <c r="H68" i="9"/>
  <c r="E11" i="9"/>
  <c r="C165" i="8"/>
  <c r="E61" i="9"/>
  <c r="F16" i="9"/>
  <c r="D54" i="4"/>
  <c r="D59" i="4" s="1"/>
  <c r="D56" i="4"/>
  <c r="B31" i="4"/>
  <c r="G50" i="3"/>
  <c r="B39" i="4" s="1"/>
  <c r="G113" i="8"/>
  <c r="G166" i="8"/>
  <c r="E14" i="9" l="1"/>
  <c r="B11" i="9"/>
  <c r="C166" i="8"/>
  <c r="I68" i="9"/>
  <c r="H69" i="9"/>
  <c r="F171" i="8"/>
  <c r="F136" i="8"/>
  <c r="C113" i="8"/>
  <c r="B61" i="9"/>
  <c r="B63" i="9" s="1"/>
  <c r="C16" i="9"/>
  <c r="B69" i="9"/>
  <c r="C69" i="9"/>
  <c r="D69" i="9"/>
  <c r="E69" i="9"/>
  <c r="F69" i="9"/>
  <c r="G136" i="8"/>
  <c r="G171" i="8"/>
  <c r="G195" i="8" s="1"/>
  <c r="G69" i="9"/>
  <c r="C136" i="8" l="1"/>
  <c r="F195" i="8"/>
  <c r="C195" i="8" s="1"/>
  <c r="C171" i="8"/>
  <c r="F138" i="8"/>
  <c r="G137" i="8" s="1"/>
  <c r="G138" i="8" s="1"/>
  <c r="I69" i="9"/>
  <c r="J68" i="9"/>
  <c r="E15" i="9"/>
  <c r="B14" i="9"/>
  <c r="E16" i="9" l="1"/>
  <c r="D61" i="9"/>
  <c r="D63" i="9" s="1"/>
  <c r="C19" i="9"/>
  <c r="B19" i="9"/>
  <c r="B15" i="9"/>
  <c r="J69" i="9"/>
  <c r="K68" i="9"/>
  <c r="B72" i="9" l="1"/>
  <c r="K69" i="9"/>
  <c r="B16" i="9"/>
  <c r="B18" i="9"/>
  <c r="C72" i="9" l="1"/>
  <c r="B73" i="9"/>
  <c r="C73" i="9" l="1"/>
  <c r="D72" i="9"/>
  <c r="E72" i="9" l="1"/>
  <c r="D73" i="9"/>
  <c r="E73" i="9" l="1"/>
  <c r="F72" i="9"/>
  <c r="F73" i="9" l="1"/>
  <c r="G72" i="9"/>
  <c r="G73" i="9" l="1"/>
  <c r="H72" i="9"/>
  <c r="H73" i="9" l="1"/>
  <c r="I72" i="9"/>
  <c r="I73" i="9" l="1"/>
  <c r="J72" i="9"/>
  <c r="K72" i="9" l="1"/>
  <c r="J73" i="9"/>
  <c r="K73" i="9" l="1"/>
  <c r="B76" i="9"/>
  <c r="B77" i="9" l="1"/>
  <c r="C76" i="9"/>
  <c r="C77" i="9" l="1"/>
  <c r="D76" i="9"/>
  <c r="D77" i="9" l="1"/>
  <c r="E76" i="9"/>
  <c r="E77" i="9" l="1"/>
  <c r="F76" i="9"/>
  <c r="G76" i="9" l="1"/>
  <c r="F77" i="9"/>
  <c r="G77" i="9" l="1"/>
  <c r="H76" i="9"/>
  <c r="I76" i="9" l="1"/>
  <c r="H77" i="9"/>
  <c r="I77" i="9" l="1"/>
  <c r="J76" i="9"/>
  <c r="J77" i="9" l="1"/>
  <c r="K76" i="9"/>
  <c r="B80" i="9" l="1"/>
  <c r="K77" i="9"/>
  <c r="C80" i="9" l="1"/>
  <c r="B81" i="9"/>
  <c r="C81" i="9" l="1"/>
  <c r="D80" i="9"/>
  <c r="E80" i="9" l="1"/>
  <c r="D81" i="9"/>
  <c r="E81" i="9" l="1"/>
  <c r="F80" i="9"/>
  <c r="F81" i="9" l="1"/>
  <c r="G80" i="9"/>
  <c r="G81" i="9" l="1"/>
  <c r="H80" i="9"/>
  <c r="H81" i="9" l="1"/>
  <c r="I80" i="9"/>
  <c r="I81" i="9" l="1"/>
  <c r="J80" i="9"/>
  <c r="K80" i="9" l="1"/>
  <c r="J81" i="9"/>
  <c r="K81" i="9" l="1"/>
  <c r="B84" i="9"/>
  <c r="C84" i="9" l="1"/>
  <c r="B85" i="9"/>
  <c r="D84" i="9" l="1"/>
  <c r="C85" i="9"/>
  <c r="E84" i="9" l="1"/>
  <c r="D85" i="9"/>
  <c r="F84" i="9" l="1"/>
  <c r="E85" i="9"/>
  <c r="G84" i="9" l="1"/>
  <c r="G85" i="9" s="1"/>
  <c r="E62" i="9" s="1"/>
  <c r="E63" i="9" s="1"/>
  <c r="F85" i="9"/>
</calcChain>
</file>

<file path=xl/sharedStrings.xml><?xml version="1.0" encoding="utf-8"?>
<sst xmlns="http://schemas.openxmlformats.org/spreadsheetml/2006/main" count="947" uniqueCount="599">
  <si>
    <t>1A - Bilanțul</t>
  </si>
  <si>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</si>
  <si>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AN</t>
  </si>
  <si>
    <t>A.Active imobilizate</t>
  </si>
  <si>
    <t>I.Imobilizari necorporale</t>
  </si>
  <si>
    <t>II.Imobilizari corporale</t>
  </si>
  <si>
    <t>1. Terenuri si constructii</t>
  </si>
  <si>
    <t>2. Instalatii tehnice si masini</t>
  </si>
  <si>
    <t>3. Alte instalatii, utilaje si mobilier</t>
  </si>
  <si>
    <t>4. Investiții imobiliare</t>
  </si>
  <si>
    <t>5. Imobilizări corporale în curs de execuție</t>
  </si>
  <si>
    <t>6. Investiții imobiliare în curs de execuție</t>
  </si>
  <si>
    <t>7. Avansuri acordate pentru imobilizări corporale</t>
  </si>
  <si>
    <t>Imobilizari corporale - total</t>
  </si>
  <si>
    <t>III.Imobilizari financiare</t>
  </si>
  <si>
    <t>Active imobilizate - total</t>
  </si>
  <si>
    <t>B.Active circulante</t>
  </si>
  <si>
    <t>I.Stocuri:</t>
  </si>
  <si>
    <t>1. Materii prime si materiale consumabile</t>
  </si>
  <si>
    <t>2. Productia in curs de executie</t>
  </si>
  <si>
    <t>3. Produse finite si marfuri</t>
  </si>
  <si>
    <t>4. Avansuri pentru cumparari stocuri</t>
  </si>
  <si>
    <t>Stocuri - total</t>
  </si>
  <si>
    <t>II.Creante</t>
  </si>
  <si>
    <t>III.Investitii financiare pe termen scurt</t>
  </si>
  <si>
    <t>IV.Casa si conturi la banci</t>
  </si>
  <si>
    <t>Active circulante - total</t>
  </si>
  <si>
    <t>C.Cheltuieli in avans</t>
  </si>
  <si>
    <t>1. Sume de reluat într-o perioadă de până la un an</t>
  </si>
  <si>
    <t>2. Sume de reluat într-o perioadă mai mare de un an</t>
  </si>
  <si>
    <t>D.Datorii: sumele care trebuie platite intr-o perioada de pana la un an</t>
  </si>
  <si>
    <t>1.  Împrumuturi din emisiunea de obligatiuni, prezentându-se separat împrumuturile din emisiunea de obligatiuni convertibile</t>
  </si>
  <si>
    <t>2. Sume datorate institutiilor de credit</t>
  </si>
  <si>
    <t>3. Avansuri încasate în contul comenzilor</t>
  </si>
  <si>
    <t>4. Datorii comerciale - furnizori</t>
  </si>
  <si>
    <t>5. Efecte de comert de platit</t>
  </si>
  <si>
    <t>6. Sume datorate entitatilor afiliate</t>
  </si>
  <si>
    <t>7. Sume datorate entitatilor de care compania este legata în virtutea intereselor de participare</t>
  </si>
  <si>
    <t>8. Alte datorii, inclusiv datoriile fiscale si datoriile privind asigurarile sociale</t>
  </si>
  <si>
    <t>Datorii: sumele care trebuie platite intr-o perioada de pana la un an</t>
  </si>
  <si>
    <t>E.Active circulante nete/datorii curente nete</t>
  </si>
  <si>
    <t>F.Total active minus datorii curente</t>
  </si>
  <si>
    <t>G.Datorii: sumele care trebuie platite intr-o perioada mai mare de un an</t>
  </si>
  <si>
    <t>1. Împrumuturi din emisiunea de obligatiuni, prezentându-se separat împrumuturile din emisiunea de obligatiuni convertibile</t>
  </si>
  <si>
    <t xml:space="preserve">5. Efecte de comert de platit </t>
  </si>
  <si>
    <t xml:space="preserve">6. Sume datorate entitatilor afiliate </t>
  </si>
  <si>
    <t xml:space="preserve">8. Alte datorii, inclusiv datoriile fiscale si datoriile privind asigurarile sociale </t>
  </si>
  <si>
    <t>Datorii ce trebuie platite intr-o perioada mai mare de un an - total</t>
  </si>
  <si>
    <t>H.Provizioane</t>
  </si>
  <si>
    <t>I.Venituri in avans</t>
  </si>
  <si>
    <t xml:space="preserve">1. Subvenţii pentru investiţii </t>
  </si>
  <si>
    <t>Sume de reluat într-o perioadă de până la un an</t>
  </si>
  <si>
    <t>Sume de reluat într-o perioadă mai mare de un an</t>
  </si>
  <si>
    <t>2. Venituri înregistrate în avans</t>
  </si>
  <si>
    <t>Sume de reluat intr-o perioada de pana la un an</t>
  </si>
  <si>
    <t>Sume de reluat intr-o perioada mai mare de un an</t>
  </si>
  <si>
    <t xml:space="preserve">3. Venituri în avans aferente activelor primite prin transfer de la clienţi </t>
  </si>
  <si>
    <t>Fondul comercial negativ</t>
  </si>
  <si>
    <t>J.Capital si rezerve</t>
  </si>
  <si>
    <t>I.Capital, din care</t>
  </si>
  <si>
    <t xml:space="preserve">    Capital subscris vărsat</t>
  </si>
  <si>
    <t xml:space="preserve">    Capital subscris nevărsat</t>
  </si>
  <si>
    <t xml:space="preserve">    Patrimoniu regiei</t>
  </si>
  <si>
    <t xml:space="preserve">    Patrimoniul institutelor naționale de cercetare-dezvoltare</t>
  </si>
  <si>
    <t xml:space="preserve">    Alte elemente de capitaluri proprii</t>
  </si>
  <si>
    <t>II.Prime de capital</t>
  </si>
  <si>
    <t>III.Rezerve din reevaluare</t>
  </si>
  <si>
    <t>Sold Creditor</t>
  </si>
  <si>
    <t>Sold Debitor</t>
  </si>
  <si>
    <t>IV.Rezerve</t>
  </si>
  <si>
    <t>Acţiuni proprii</t>
  </si>
  <si>
    <t>Câştiguri legate de instrumentele de capitaluri proprii</t>
  </si>
  <si>
    <t>Pierderi legate de instrumentele de capitaluri proprii</t>
  </si>
  <si>
    <t>V.Rezultatul reportat</t>
  </si>
  <si>
    <t>VI.Rezultatul exercitiului financiar</t>
  </si>
  <si>
    <t>Repartizarea profitului</t>
  </si>
  <si>
    <t>Capitaluri proprii - total</t>
  </si>
  <si>
    <t>Patrimoniul public</t>
  </si>
  <si>
    <t>Patrimoniul privat</t>
  </si>
  <si>
    <t>Capitaluri - total</t>
  </si>
  <si>
    <t>TOTAL ACTIV</t>
  </si>
  <si>
    <t>TOTAL CAPITALURI SI DATORII</t>
  </si>
  <si>
    <t>1B - Contul de profit și pierdere</t>
  </si>
  <si>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</si>
  <si>
    <t>Cifra de afaceri neta</t>
  </si>
  <si>
    <t>Venituri aferente costului producției în curs de execuție (+ pentru C; - pentru D)</t>
  </si>
  <si>
    <t>Venituri  din productia de imobilizări necorporale și corporale</t>
  </si>
  <si>
    <t>Venituri din reevaluarea imobilizărilor corporale</t>
  </si>
  <si>
    <t>Venituri din producția de investiții imobiliare</t>
  </si>
  <si>
    <t>Venituri din subvenții de exploatare</t>
  </si>
  <si>
    <t>Alte venituri din exploatare</t>
  </si>
  <si>
    <t>Venituri din exploatare - total</t>
  </si>
  <si>
    <t xml:space="preserve">Cheltuieli cu materiile prime şi materialele consumabile </t>
  </si>
  <si>
    <t>Alte cheltuieli materiale</t>
  </si>
  <si>
    <t>Alte cheltuieli externe (cu energie şi apă)</t>
  </si>
  <si>
    <t xml:space="preserve">Cheltuieli privind mărfurile </t>
  </si>
  <si>
    <t>Reduceri comerciale primite</t>
  </si>
  <si>
    <t>Cheltuieli cu personalul</t>
  </si>
  <si>
    <t>Ajustări de valoare privind imobilizările corporale şi necorporale</t>
  </si>
  <si>
    <t xml:space="preserve">Ajustări de valoare privind activele circulante </t>
  </si>
  <si>
    <t xml:space="preserve">Alte cheltuieli de exploatare </t>
  </si>
  <si>
    <t xml:space="preserve">Ajustări privind provizioanele  </t>
  </si>
  <si>
    <t>Cheltuieli din exploatare - total</t>
  </si>
  <si>
    <t>Rezultatul din exploatare</t>
  </si>
  <si>
    <t>Rezultatul din exploatare Profit</t>
  </si>
  <si>
    <t>Rezultatul din exploatare Pierdere</t>
  </si>
  <si>
    <t>Venituri din interese de participare</t>
  </si>
  <si>
    <t>Venituri din dobânzi</t>
  </si>
  <si>
    <t>Venituri din subvenţii de exploatare pentru dobânda datorată</t>
  </si>
  <si>
    <t>Alte venituri financiare</t>
  </si>
  <si>
    <t>Venituri financiare</t>
  </si>
  <si>
    <t>Ajustări de valoare privind imobilizările financiare şi investiţiile financiare deţinute ca active circulante</t>
  </si>
  <si>
    <t xml:space="preserve">Cheltuieli privind dobânzile </t>
  </si>
  <si>
    <t xml:space="preserve">Alte cheltuieli financiare  </t>
  </si>
  <si>
    <t>Cheltuieli financiare</t>
  </si>
  <si>
    <t>Rezultatul financiar</t>
  </si>
  <si>
    <t>Rezultatul financiar Profit</t>
  </si>
  <si>
    <t>Rezultatul financiar Pierdere</t>
  </si>
  <si>
    <t>Rezultatul curent</t>
  </si>
  <si>
    <t>Rezultatul curent Profit</t>
  </si>
  <si>
    <t>Rezultatul curent Pierdere</t>
  </si>
  <si>
    <t>Venituri extraordinare</t>
  </si>
  <si>
    <t>Cheltuieli extraordinare</t>
  </si>
  <si>
    <t>Rezultatul extraordinar</t>
  </si>
  <si>
    <t>Rezultatul extraordinar Profit</t>
  </si>
  <si>
    <t>Rezultatul extraordinar Pierdere</t>
  </si>
  <si>
    <t>Venituri totale</t>
  </si>
  <si>
    <t>Cheltuieli totale</t>
  </si>
  <si>
    <t>Rezultatul brut</t>
  </si>
  <si>
    <t>Rezultatul brut Profit</t>
  </si>
  <si>
    <t>Rezultatul brut Pierdere</t>
  </si>
  <si>
    <t>Impozit pe profit</t>
  </si>
  <si>
    <t>Alte impozite neprezentate la elementele de mai sus</t>
  </si>
  <si>
    <t>Rezultatul net</t>
  </si>
  <si>
    <t>Rezultatul net Profit</t>
  </si>
  <si>
    <t>Rezultatul net Pierdere</t>
  </si>
  <si>
    <t>1C - Analiza financiară extinsă</t>
  </si>
  <si>
    <t>Istoric Bilanț</t>
  </si>
  <si>
    <t>Indicatori structură bilanț (% din total activ)</t>
  </si>
  <si>
    <t>Indicatori modificare relativă</t>
  </si>
  <si>
    <t>Active imobilizate</t>
  </si>
  <si>
    <t>Active curente</t>
  </si>
  <si>
    <t>Stocuri</t>
  </si>
  <si>
    <t>Creante de incasat</t>
  </si>
  <si>
    <t>Cheltuieli inregistrate in avans</t>
  </si>
  <si>
    <t>Cash si echivalente de cash</t>
  </si>
  <si>
    <t>Activ total</t>
  </si>
  <si>
    <t>Datorii curente</t>
  </si>
  <si>
    <t>Datorii financiare pe termen scurt</t>
  </si>
  <si>
    <t>Datorii comerciale - furnizori</t>
  </si>
  <si>
    <t>Alte datorii pe termen scurt</t>
  </si>
  <si>
    <t>Venituri inregistrate in avans</t>
  </si>
  <si>
    <t>Datorii pe termen lung</t>
  </si>
  <si>
    <t>Datorii financiare pe termen lung</t>
  </si>
  <si>
    <t>Alte datorii pe termen lung</t>
  </si>
  <si>
    <t>Provizioane</t>
  </si>
  <si>
    <t>Capital propriu</t>
  </si>
  <si>
    <t>Istoric cont de profit și pierdere</t>
  </si>
  <si>
    <t>Indicatori structură CPP (% in cifra de afaceri)</t>
  </si>
  <si>
    <t>Cheltuieli monetare de exploatare</t>
  </si>
  <si>
    <t>Ajustări de valoare privind imobilizările, activele circulante si provizioanele</t>
  </si>
  <si>
    <t>EBT</t>
  </si>
  <si>
    <t>EBIT</t>
  </si>
  <si>
    <t>EBITDA</t>
  </si>
  <si>
    <t>1D - Analiza financiară - Indicatori</t>
  </si>
  <si>
    <t>Completarea informațiilor se face în mod automat, în baza informațiilor introduse în foile de lucru 1.A-Bilanțul și 1.B-Contul de profit și pierdere, precum și a Analizei financiare extinse (foaia de lucru 1C)</t>
  </si>
  <si>
    <t>Indicatori de echilibru financiar</t>
  </si>
  <si>
    <t>AN (Activ net) = Activ total - Datorii totale</t>
  </si>
  <si>
    <t>FR (Fond de rulment ) = Capital propriu + Datorii termen lung - Imobilizari</t>
  </si>
  <si>
    <t>NFR (necesar de fond de rulment) = Active curente cu exceptia trezoreriei - Datorii curente cu exceptia trezoreriei</t>
  </si>
  <si>
    <t>TN (trezoreria neta) = FR - NFR</t>
  </si>
  <si>
    <t>CF (cash flow) = variatia (D) TN</t>
  </si>
  <si>
    <t>Rata de acoperire a NFR din FR = NFR/FR</t>
  </si>
  <si>
    <t>Solduri intermediare de gestiune</t>
  </si>
  <si>
    <t>CA (Cifra de afaceri neta)</t>
  </si>
  <si>
    <t>Rexpl (Rezultatul din exploatare) = Venituri din exploatare - Cheltuieli de exploatare</t>
  </si>
  <si>
    <t>Rfin (Rezultatul financiar) = Venituri financiare - Cheltuieli financiare</t>
  </si>
  <si>
    <t>Rcrt (Rezultatul curent) = Rexpl + Rfin</t>
  </si>
  <si>
    <t>Rextr (Rezultatul extraordinar) = Venituri extraordinare - Cheltuieli extraordinare</t>
  </si>
  <si>
    <t>R brut (Rezultatul brut) = Rcrt + Rextr</t>
  </si>
  <si>
    <t>RN (Rezultatul net) = R brut - impozit pe profit</t>
  </si>
  <si>
    <t>EBT (Rezultat inainte de impozit) = RN + impozit pe profit</t>
  </si>
  <si>
    <t>EBIT (Rezultat inainte de dobanzi si impozit) = EBT + dobanzi</t>
  </si>
  <si>
    <t>EBITDA (Rezultat inainte de amortizare, dobanzi si impozit) = EBIT + amortizare</t>
  </si>
  <si>
    <t>Rate de marja</t>
  </si>
  <si>
    <t>R_Rexp = Rezultat exploatare / CA</t>
  </si>
  <si>
    <t>R_Rfin = Rezultat financiar / CA</t>
  </si>
  <si>
    <t>R_Rextr = Rezultat extraordinar / CA</t>
  </si>
  <si>
    <t>R_Rbrut = Rezultat brut / CA</t>
  </si>
  <si>
    <t>R_RN (sau R_PN) = Rezultat net (profit net) / CA</t>
  </si>
  <si>
    <t>R_EBITDA = EBITDA / CA</t>
  </si>
  <si>
    <t>R_EBIT = EBIT / CA</t>
  </si>
  <si>
    <t>Rate de rentabilitate</t>
  </si>
  <si>
    <t>Profit net</t>
  </si>
  <si>
    <t>EBIT - impozit</t>
  </si>
  <si>
    <t>ROA (rentabilitatea activelor) = PN/Active</t>
  </si>
  <si>
    <t>descompunere ROA = R_PN · viteza de rotatie a activelor</t>
  </si>
  <si>
    <t>R_PN = PN/CA</t>
  </si>
  <si>
    <t>viteza de rotatie a activelor = CA/Active</t>
  </si>
  <si>
    <t>ROE (rentabilitatea capitalului propriu)  = PN/CPR</t>
  </si>
  <si>
    <t>descompunerea ROE = R_PN · viteza de rotatie a activelor 
· rata de structura aferenta capitalului propriu</t>
  </si>
  <si>
    <t>rata de structura aferenta capitalului propriu = Active/CPR</t>
  </si>
  <si>
    <t>Rec (rentabilitatea capitalului investit)  = (EBIT-impozit)/capital investit, unde CI=CPR+DTL+prov</t>
  </si>
  <si>
    <t>descompunere Rec = Rec = R_(EBIT-impozit) · viteza de rotatie a activelor · rata de structura aferenta capitalului investit</t>
  </si>
  <si>
    <t>R_(EBIT-impozit) = (EBIT-impozit)/CA</t>
  </si>
  <si>
    <t>rata de structura aferenta capitalului investit = Active/cap investit</t>
  </si>
  <si>
    <t>efect de levier = ROE-Rec</t>
  </si>
  <si>
    <t>Durate de rotatie</t>
  </si>
  <si>
    <t>Durata de rotatie a activelor totale = (Active totale / CA) · 360</t>
  </si>
  <si>
    <t>Durata de rotatie a activelor imobilizate = (Active imobilizate / CA) · 360</t>
  </si>
  <si>
    <t>Durata de rotatie a activelor curente = (Active curente / CA) · 360</t>
  </si>
  <si>
    <t>Durata de rotatie a stocurilor = (Stocuri / CA) · 360</t>
  </si>
  <si>
    <t>Durata de rotatie a creantelor = (Creante / CA) · 360</t>
  </si>
  <si>
    <t>Durata de rotatie a furnizorilor = (Furnizori / CA) · 360</t>
  </si>
  <si>
    <t>Viteze de rotatie</t>
  </si>
  <si>
    <t>Viteza de rotatie a activelor totale = CA / Active totale</t>
  </si>
  <si>
    <t>Viteza de rotatie a activelor imobilizate = CA / Active imobilizate</t>
  </si>
  <si>
    <t>Viteza de rotatie a activelor curente = CA / Active curente</t>
  </si>
  <si>
    <t>Viteza de rotatie a stocurilor = CA / Stocuri</t>
  </si>
  <si>
    <t>Viteza de rotatie a creantelor = CA / Creante</t>
  </si>
  <si>
    <t>Viteza de rotatie a furnizorilor = CA / Furnizori</t>
  </si>
  <si>
    <t>Coeficient de proportionalitate fata de cifra de afaceri</t>
  </si>
  <si>
    <t>Coeficient al activelor totale</t>
  </si>
  <si>
    <t>Coeficient al activelor imobilizate</t>
  </si>
  <si>
    <t>Coeficient al activelor curente</t>
  </si>
  <si>
    <t>Coeficient al stocurilor</t>
  </si>
  <si>
    <t>Coeficient al creantelor</t>
  </si>
  <si>
    <t>Coeficient al furnizorilor</t>
  </si>
  <si>
    <t>Coeficient al lichiditatilor</t>
  </si>
  <si>
    <t>Rate de lichiditate</t>
  </si>
  <si>
    <t>lichiditatea curenta  = active curente / datorii curente</t>
  </si>
  <si>
    <t>lichiditatea intermediara  = (active curente - stocuri) / datorii curente</t>
  </si>
  <si>
    <t>lichiditatea la vedere  =  lichiditati / datorii curente</t>
  </si>
  <si>
    <t>Rate de solvabilitate si indatorare</t>
  </si>
  <si>
    <t>Rata solvabilității = Active totale/ Datorii curente</t>
  </si>
  <si>
    <t xml:space="preserve">Rata solvabilitatii generale  = Active totale / Datorii totale </t>
  </si>
  <si>
    <t>Rata solvabilitatii patrimoniale: = Capital propriu/capital propriu+datorii pe termen mediu şi lung, peste 1 an</t>
  </si>
  <si>
    <t>Ponderea capitalului propriu in activ = Capital propriu / Activ</t>
  </si>
  <si>
    <t>Levier = Datorii pe termen lung / Capital propriu</t>
  </si>
  <si>
    <t>Grad de indatorare pe termen lung = Datorii pe termen lung / Activ</t>
  </si>
  <si>
    <t>Grad de indatorare pe termen scurt = Datorii pe termen scurt / Activ</t>
  </si>
  <si>
    <t>Grad total de indatorare = Datorii totale / Activ</t>
  </si>
  <si>
    <t>1E -Verificarea încadrării solicitantului în categoria întreprinderilor în dificultate</t>
  </si>
  <si>
    <t>Pentru a fi eligibil, solicitantul trebuie să nu se încadreze în categoria întreprinderilor în dificultate.</t>
  </si>
  <si>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</si>
  <si>
    <t>O întreprindere este considerată a fi în dificultate dacă este îndeplinită cel puțin una dintre următoarele condiții*:</t>
  </si>
  <si>
    <t>1)</t>
  </si>
  <si>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</si>
  <si>
    <t>i) Se calculează Rezultatul total acumulat al solicitantului</t>
  </si>
  <si>
    <t>Rezultatul reportat</t>
  </si>
  <si>
    <t>Rezultatul exercitiului financiar</t>
  </si>
  <si>
    <t>Rezultatul total acumulat</t>
  </si>
  <si>
    <t>Dacă Rezultatul total acumulat este pozitiv, atunci solicitantul nu se încadrează în categoria întreprinderilor în dificultate.</t>
  </si>
  <si>
    <t>ii) Dacă Rezultatul total acumulat este negativ (Pierdere acumulata), atunci se calculează Pierderile de capital (Pierderea acumulata + Prime de capital + Rezerve din reevaluare + Rezerve)</t>
  </si>
  <si>
    <t>Capital social subscris si varsat</t>
  </si>
  <si>
    <t>Prime de capital</t>
  </si>
  <si>
    <t>Rezerve din reevaluare</t>
  </si>
  <si>
    <t>Rezerve</t>
  </si>
  <si>
    <t>Pierdere de capital (dacă rezultatul este negativ)</t>
  </si>
  <si>
    <t>iii) Dacă valoarea rezultată este pozitivă (&gt;=0), ori valoarea rezultată negativă reprezintă cel mult 50% din Capital social subscris si vărsat, atunci solicitantul nu se încadrează în categoria întreprinderilor în dificultate.</t>
  </si>
  <si>
    <t>Rezultat:</t>
  </si>
  <si>
    <t>2)</t>
  </si>
  <si>
    <t>Atunci când întreprinderea face obiectul unei proceduri colective de insolvență sau îndeplinește criteriile prevăzute de legislația națională pentru inițierea unei proceduri colective de insolvență la cererea creditorilor săi.</t>
  </si>
  <si>
    <t>3)</t>
  </si>
  <si>
    <t>Atunci când întreprinderea a primit ajutor pentru salvare și nu a rambursat încă împrumutul sau nu a încetat garanția sau a primit ajutoare pentru restructurare și face încă obiectul unui plan de restructurare.</t>
  </si>
  <si>
    <t>*) În conformitate  cu prevederile Regulamentului (UE) nr. 651/2014 al Comisiei din 17 iunie 2014 de declarare a anumitor categorii de ajutoare compatibile cu piața internă în aplicarea articolelor 107 și 108 din tratat</t>
  </si>
  <si>
    <t>2B - Planul investitional</t>
  </si>
  <si>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</si>
  <si>
    <t>Capitol</t>
  </si>
  <si>
    <t>Denumire</t>
  </si>
  <si>
    <t>Buget cerere</t>
  </si>
  <si>
    <t>Total ani</t>
  </si>
  <si>
    <t>Implementare</t>
  </si>
  <si>
    <t>an 1</t>
  </si>
  <si>
    <t>4.2.1</t>
  </si>
  <si>
    <t>Echipamente tehnologice, utilaje, instalații de lucru, mobilier, echipamente informatice, birotică</t>
  </si>
  <si>
    <t>4.2.2</t>
  </si>
  <si>
    <t xml:space="preserve">Echipamente specifice în scopul obţinerii unei economii de energie, sisteme care utilizează surse regenerabile/ alternative de energie </t>
  </si>
  <si>
    <t>SURSE DE FINANTARE</t>
  </si>
  <si>
    <t>Valoarea totală a cererii de finantare, din care:</t>
  </si>
  <si>
    <t>Valoare TVA neeligibil</t>
  </si>
  <si>
    <t>Contribuţia proprie totală (la cheltuieli eligibile și neeligibile), asigurată din:</t>
  </si>
  <si>
    <t xml:space="preserve">   - Surse proprii</t>
  </si>
  <si>
    <t xml:space="preserve">   - Imprumuturi bancare / surse imprumutate</t>
  </si>
  <si>
    <t>INFORMATII AFERENTE FINANTARII PROIECTULUI DE INVESTITIE</t>
  </si>
  <si>
    <t>RAMBURSARE CREDIT
se va completa cu informatii obtinute de la banca finantatoare</t>
  </si>
  <si>
    <t>Total</t>
  </si>
  <si>
    <t>an 2</t>
  </si>
  <si>
    <t>an 3</t>
  </si>
  <si>
    <t>an 4</t>
  </si>
  <si>
    <t>Imprumuturi bancare</t>
  </si>
  <si>
    <t>Rambursare imprumut bancar</t>
  </si>
  <si>
    <t xml:space="preserve">Dobanzi </t>
  </si>
  <si>
    <t>Rambursare imprumut (incl.dobanzi)</t>
  </si>
  <si>
    <t>INFORMATII AFERENTE INTREGII ENTITATI</t>
  </si>
  <si>
    <t>Sume datorate institutiilor de credit (surse imprumutate) generate de proiectul de investitii</t>
  </si>
  <si>
    <t>Sume datorate institutiilor de credit excluzandu-le pe cele generate de proiectul de investitii</t>
  </si>
  <si>
    <t>Alte datorii (pe termen lung si scurt)</t>
  </si>
  <si>
    <t>Grad indatorare</t>
  </si>
  <si>
    <t xml:space="preserve"> 2A - BUGETUL CERERII DE FINANTARE</t>
  </si>
  <si>
    <t>Nr. crt</t>
  </si>
  <si>
    <t>Denumirea capitolelor şi subcapitolelor</t>
  </si>
  <si>
    <t>Cheltuieli eligibile</t>
  </si>
  <si>
    <t>Total eligibil</t>
  </si>
  <si>
    <t>Cheltuieli neeligibile</t>
  </si>
  <si>
    <t>Total neeligibil</t>
  </si>
  <si>
    <t>TOTAL</t>
  </si>
  <si>
    <t>Cheltuieli eligibile, fără TVA</t>
  </si>
  <si>
    <t>TVA nerecuperabilă, aferentă cheltuielilor eligibile</t>
  </si>
  <si>
    <t>Cheltuieli neeligibile, fără TVA</t>
  </si>
  <si>
    <t xml:space="preserve"> TVA recuperabilă aferentă cheltuielilor eligibile</t>
  </si>
  <si>
    <t>1.1</t>
  </si>
  <si>
    <t>Cheltuieli cu realizarea/achizitia constructiilor</t>
  </si>
  <si>
    <t>1.2</t>
  </si>
  <si>
    <t>Echipamente, inclusiv IT&amp;C, tehnologii software, utilaje, instalatii, tehnologii, dotari independente</t>
  </si>
  <si>
    <t>1.3</t>
  </si>
  <si>
    <t>Mobilier de birou si mobilier specific</t>
  </si>
  <si>
    <t>1.4</t>
  </si>
  <si>
    <t>Terenuri in limita a 10% din valoarea eligibila a proiectului</t>
  </si>
  <si>
    <t>1.5</t>
  </si>
  <si>
    <t>Cheltuieli de sistemizare si amenajare teritoriale a terenurilor, cheltuieli de mediu, cheltuieli cu racordarea la utilitati, cheltuieli privind accesibilitatea</t>
  </si>
  <si>
    <t>1.6</t>
  </si>
  <si>
    <t>Cheltuieli cu consultanta si proiectarea, managementul de proiect, asistenta tehnica, dirigentia de santier</t>
  </si>
  <si>
    <t>1.7</t>
  </si>
  <si>
    <t>Cheltuieli de promovare, participare la targuri, evenimente, conferinte, cheltuieli privind studiile</t>
  </si>
  <si>
    <t>1.8</t>
  </si>
  <si>
    <t>Cheltuieli privind drepturile de proprietate intelectuala</t>
  </si>
  <si>
    <t>1.9</t>
  </si>
  <si>
    <t>Active necorporale referitoare la brevete de inventie, marci de produse, software necesar activitatii</t>
  </si>
  <si>
    <t>2.1</t>
  </si>
  <si>
    <t>Cheltuieli pentru realizare de depozite de echipamente medicale, medicamente, materiale sanitare, destinate interventiei pentru situatii de urgenta</t>
  </si>
  <si>
    <t>3.1</t>
  </si>
  <si>
    <t>Cheltuilei cu reabilitarea/modernizarea/extinderea si/sau realizarea unor depouri pentru mijloacelor de transport din dotare sau pentru cele care urmeaza a se achizitiona</t>
  </si>
  <si>
    <t>3.2</t>
  </si>
  <si>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</si>
  <si>
    <t>3.3</t>
  </si>
  <si>
    <t>Cheltuieli privind dotarea mijloacelor de transport existente cu echipamente si tehnologii care conduc la imbunatatirea confortului/calitatii serviciilor de transport persoane si marfuri prestate</t>
  </si>
  <si>
    <t>TOTAL GENERAL</t>
  </si>
  <si>
    <t>din care C+M</t>
  </si>
  <si>
    <t>Nr crt</t>
  </si>
  <si>
    <t>SURSE DE FINANŢARE</t>
  </si>
  <si>
    <t>Valoare (lei)</t>
  </si>
  <si>
    <t>I</t>
  </si>
  <si>
    <t>Valoarea totală a cererii de finantare, din care :</t>
  </si>
  <si>
    <t>I.a.</t>
  </si>
  <si>
    <t>Valoarea totala neeligibilă, inclusiv TVA aferenta</t>
  </si>
  <si>
    <t>I.b.</t>
  </si>
  <si>
    <t xml:space="preserve">Valoarea totala eligibilă </t>
  </si>
  <si>
    <t>II</t>
  </si>
  <si>
    <t>Contribuţia proprie, din care :</t>
  </si>
  <si>
    <t>II.a.</t>
  </si>
  <si>
    <t xml:space="preserve">Contribuţia solicitantului la cheltuieli eligibile </t>
  </si>
  <si>
    <t>II.b.</t>
  </si>
  <si>
    <t>Contribuţia solicitantului la cheltuieli neeligibile, inclusiv TVA aferenta</t>
  </si>
  <si>
    <t>III</t>
  </si>
  <si>
    <t>ASISTENŢĂ FINANCIARĂ NERAMBURSABILĂ SOLICITATĂ</t>
  </si>
  <si>
    <t xml:space="preserve"> 3A - Proiecții financiare aferente proiectului de investiție în perioada de implementare și operare</t>
  </si>
  <si>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</si>
  <si>
    <t>Tabel 1: PROIECTII FINANCIARE - FARA ADOPTAREA PROIECTULUI DE INVESTITIE</t>
  </si>
  <si>
    <t>Nr</t>
  </si>
  <si>
    <t>Implementare si operare</t>
  </si>
  <si>
    <t>AN Implementare</t>
  </si>
  <si>
    <t>AN 1</t>
  </si>
  <si>
    <t>AN 2</t>
  </si>
  <si>
    <t>AN 3</t>
  </si>
  <si>
    <t>INCASARI DIN ACTIVITATEA DE EXPLOATARE (fara investitie)</t>
  </si>
  <si>
    <t xml:space="preserve">Venituri din exploatare, incl TVA </t>
  </si>
  <si>
    <t>Venituri din vanzari produse</t>
  </si>
  <si>
    <t xml:space="preserve">    cantitate  produse</t>
  </si>
  <si>
    <t xml:space="preserve">    pret unitar (produs)</t>
  </si>
  <si>
    <t>Venituri din prestari servicii</t>
  </si>
  <si>
    <t xml:space="preserve">    cantitatea  de servicii </t>
  </si>
  <si>
    <t xml:space="preserve">    tariful / unitatea de măsură specifică</t>
  </si>
  <si>
    <t>Venituri din vanzari marfuri</t>
  </si>
  <si>
    <t xml:space="preserve">    cantitate marfuri</t>
  </si>
  <si>
    <t xml:space="preserve">    pret unitar (marfa)</t>
  </si>
  <si>
    <t>Total incasari (intrari de lichiditati) din activitatea de exploatare (FARA proiect)</t>
  </si>
  <si>
    <t>PLATI DIN ACTIVITATEA DE EXPLOATARE (fara investitie)</t>
  </si>
  <si>
    <t xml:space="preserve">Cheltuieli de exploatare, incl TVA </t>
  </si>
  <si>
    <t>Cheltuieli cu materiile prime si cu materialele consumabile</t>
  </si>
  <si>
    <t xml:space="preserve">    consum de materii prime </t>
  </si>
  <si>
    <t xml:space="preserve">    pret unitar materii prime</t>
  </si>
  <si>
    <t xml:space="preserve">    consum de materiale consumabile</t>
  </si>
  <si>
    <t xml:space="preserve">    pret unitar materiale consumabile</t>
  </si>
  <si>
    <t xml:space="preserve">Cheltuieli privind marfurile </t>
  </si>
  <si>
    <t xml:space="preserve">    pret unitar marfuri</t>
  </si>
  <si>
    <t>Alte cheltuieli materiale (inclusiv cheltuieli cu prestatii externe)</t>
  </si>
  <si>
    <t xml:space="preserve">Cheltuieli cu energia </t>
  </si>
  <si>
    <t xml:space="preserve">    cantitatea consumatã (unitãți de mãsurã specifice)</t>
  </si>
  <si>
    <t xml:space="preserve">    tariful de furnizare unitar</t>
  </si>
  <si>
    <t>Cheltuieli cu apa</t>
  </si>
  <si>
    <t>Alte cheltuieli din afara (cu utilitati)</t>
  </si>
  <si>
    <t>Total cheltuieli materiale</t>
  </si>
  <si>
    <t>Cheltuieli cu personalul angajat</t>
  </si>
  <si>
    <t xml:space="preserve">    număr de angajați</t>
  </si>
  <si>
    <t xml:space="preserve">    salariul de bază prognozat/luna</t>
  </si>
  <si>
    <t xml:space="preserve">    numar de luni / an </t>
  </si>
  <si>
    <t xml:space="preserve">Cheltuieli cu asigurarile si protectia sociala </t>
  </si>
  <si>
    <t>Cheltuieli de personal</t>
  </si>
  <si>
    <t>Alte cheltuieli de exploatare (prestatii externe, alte impozite, taxe si varsaminte asimilate, alte cheltuieli), din care:</t>
  </si>
  <si>
    <t xml:space="preserve">    Cheltuieli de intretinere si reparatii capitale</t>
  </si>
  <si>
    <t xml:space="preserve">    cantitatea necesară de servicii mentenanța</t>
  </si>
  <si>
    <t>Cheltuieli financiare (Cheltuieli privind dobanzile la imprumuturile contractate pentru activitatea aferenta investitiei)</t>
  </si>
  <si>
    <t>Total plati (iesiri de lichiditati) din activitatea de exploatare  (FARA proiect)</t>
  </si>
  <si>
    <t>Flux de lichiditati brut din activitatea de  exploatare  (FARA proiect)</t>
  </si>
  <si>
    <t>Plati TVA</t>
  </si>
  <si>
    <t>Rambursari TVA</t>
  </si>
  <si>
    <t>Impozit pe profit/venit</t>
  </si>
  <si>
    <t>Plati/incasari pentru impozite si taxe   (FARA proiect)</t>
  </si>
  <si>
    <t>Flux de lichiditati net din activitatea de  exploatare (FARA proiect)</t>
  </si>
  <si>
    <t xml:space="preserve">Disponibil de numerar la inceputul perioadei </t>
  </si>
  <si>
    <t xml:space="preserve">Disponibil de numerar la sfarsitul perioadei </t>
  </si>
  <si>
    <t>Tabel 2: PROIECTII FINANCIARE - CU ADOPTAREA PROIECTULUI DE INVESTITIE</t>
  </si>
  <si>
    <t>INCASARI DIN ACTIVITATEA DE EXPLOATARE  (cu adoptarea investitiei)</t>
  </si>
  <si>
    <t>Total incasari (intrari de lichiditati) din activitatea de exploatare (CU proiect)</t>
  </si>
  <si>
    <t>PLATI DIN ACTIVITATEA DE EXPLOATARE  (cu adoptarea investitiei)</t>
  </si>
  <si>
    <t xml:space="preserve">        - Cheltuieli de intretinere si reparatii capitale</t>
  </si>
  <si>
    <t>Total plati (iesiri de lichiditati) din activitatea de exploatare  (CU proiect)</t>
  </si>
  <si>
    <t>Flux de lichiditati brut din activitatea de  exploatare  (CU proiect)</t>
  </si>
  <si>
    <t>Plati/incasari pentru impozite si taxe   (CU proiect)</t>
  </si>
  <si>
    <t>Flux de lichiditati net din activitatea de  exploatare (CU proiect)</t>
  </si>
  <si>
    <t>ACTIVITATEA DE FINANTARE</t>
  </si>
  <si>
    <t>INCASARI DIN ACTIVITATEA DE FINANTARE</t>
  </si>
  <si>
    <t>Aport la capitalul societatii  (imprumuturi de la actionari/asociati)</t>
  </si>
  <si>
    <t>Credite pentru realizarea investiției</t>
  </si>
  <si>
    <t>Ajutor nerambursabil</t>
  </si>
  <si>
    <t>Total incasari (intrari de lichiditati) din activitatea de finantare</t>
  </si>
  <si>
    <t>PLATI DIN ACTIVITATEA DE FINANTARE</t>
  </si>
  <si>
    <t xml:space="preserve">Rambursari de Credite, din care:  </t>
  </si>
  <si>
    <t>Rate la imprumut - cofinantare la proiect</t>
  </si>
  <si>
    <t>Total plati (iesiri de lichiditati) din activitatea finantare</t>
  </si>
  <si>
    <t>Flux de lichiditati din activitatea de  finantare</t>
  </si>
  <si>
    <t>ACTIVITATEA DE INVESTITII (inclusiv  reinvestirile din perioada post implementare)</t>
  </si>
  <si>
    <t xml:space="preserve">Achizitii de active fixe corporale, incl TVA </t>
  </si>
  <si>
    <t>Achizitii de active fixe necorporale, incl TVA</t>
  </si>
  <si>
    <t>Cresterea investitiilor in curs</t>
  </si>
  <si>
    <t>Total plati din investitii</t>
  </si>
  <si>
    <t>Flux de lichiditati din investitii</t>
  </si>
  <si>
    <t>Flux de lichiditati din investitii si finantare</t>
  </si>
  <si>
    <t>FLUX DE LICHIDITATI TOTAL 
(activitatile de exploatare, finantare, investitii)</t>
  </si>
  <si>
    <t>Tabel 3: PROIECTII FINANCIARE INCREMENTALE (marginale)</t>
  </si>
  <si>
    <t>ACTIVITATEA DE EXPLOATARE</t>
  </si>
  <si>
    <t>INCASARI DIN ACTIVITATEA DE EXPLOATARE  (marginale)</t>
  </si>
  <si>
    <t xml:space="preserve">Venituri din exploatare (marginale), incl TVA </t>
  </si>
  <si>
    <t>Total incasari din activitatea de exploatare (marginale)</t>
  </si>
  <si>
    <t>PLATI DIN ACTIVITATEA DE EXPLOATARE</t>
  </si>
  <si>
    <t xml:space="preserve">Cheltuieli de exploatare (marginale), incl TVA </t>
  </si>
  <si>
    <t>Cheltuieli financiare (Cheltuieli privind dobanzile la imprumuturile contractate pentru proiectul de investitiei)</t>
  </si>
  <si>
    <t>Total iesiri de lichiditati din activitatea de exploatare  (marginale)</t>
  </si>
  <si>
    <t>Flux de lichiditati brut din activitatea de  exploatare (marginale)</t>
  </si>
  <si>
    <t>Plati/incasari pentru impozite si taxe (marginale)</t>
  </si>
  <si>
    <t>Flux de lichiditati net din activitatea de  exploatare (marginale)</t>
  </si>
  <si>
    <t xml:space="preserve"> Ajutor nerambursabil (inclusiv avans)</t>
  </si>
  <si>
    <t>Total incasari din finantare</t>
  </si>
  <si>
    <t>Total plati din finantare</t>
  </si>
  <si>
    <t>Flux de lichiditati din finantare</t>
  </si>
  <si>
    <t>AN 4</t>
  </si>
  <si>
    <t>FLUX DE LICHIDITATI TOTAL 
(exploatare, finantare, investitii)</t>
  </si>
  <si>
    <t>3B - Rentabilitatea investiției</t>
  </si>
  <si>
    <t>In acest tabel sunt inregistrate incasarile si platile aferente activitatilor de exploatare si de investitii generate exclusiv de proiectul de investitie</t>
  </si>
  <si>
    <t>TVA eligibil (nedeductibil) ?
(selecteaza)</t>
  </si>
  <si>
    <t>NU</t>
  </si>
  <si>
    <t>Rata de actualizare financiară</t>
  </si>
  <si>
    <t>Implementare si operare (ani)</t>
  </si>
  <si>
    <t>Total incasari din exploatare</t>
  </si>
  <si>
    <t>Valoare reziduala*</t>
  </si>
  <si>
    <t>Incasari totale</t>
  </si>
  <si>
    <t>Total plati din exploatare</t>
  </si>
  <si>
    <t>Investitie</t>
  </si>
  <si>
    <t>Regularizare TVA</t>
  </si>
  <si>
    <t>Plati totale</t>
  </si>
  <si>
    <t>Flux de numerar net</t>
  </si>
  <si>
    <t>Flux de numerar net actualizat</t>
  </si>
  <si>
    <t>Investitie actualizata</t>
  </si>
  <si>
    <t>VANF (valoarea actualizata neta financiara)</t>
  </si>
  <si>
    <t>RIRF (rata interna de rentabilitate financiara)</t>
  </si>
  <si>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</si>
  <si>
    <t>Activ</t>
  </si>
  <si>
    <t>Valoare de inventar (lei)</t>
  </si>
  <si>
    <t>Pondere (%)</t>
  </si>
  <si>
    <t>Durata de viata (ani)</t>
  </si>
  <si>
    <t>Durata de viata medie (ani)</t>
  </si>
  <si>
    <t>[completați cu denumirea activului]</t>
  </si>
  <si>
    <t>Fluxuri de numerar</t>
  </si>
  <si>
    <t>Valoare reziduala</t>
  </si>
  <si>
    <t>Total flux de numerar</t>
  </si>
  <si>
    <t>(durata de viață post operare rămasă, în ani)</t>
  </si>
  <si>
    <t>Post operare (ani)</t>
  </si>
  <si>
    <t>An</t>
  </si>
  <si>
    <t>Post operare (continuare)</t>
  </si>
  <si>
    <t>TVA eligibil</t>
  </si>
  <si>
    <t>DA</t>
  </si>
  <si>
    <t>4 - Proiecții financiare la nivelul întreprinderii</t>
  </si>
  <si>
    <t>Tabel 1 - Proiectia fluxului de numerar la nivelul intregii activitati a intreprinderii, cu ajutor nerambursabil, pe perioada de implementare si operare a investitiei</t>
  </si>
  <si>
    <t>Nr. Crt.</t>
  </si>
  <si>
    <t>CATEGORIA</t>
  </si>
  <si>
    <t>Credite pe termen lung, din care</t>
  </si>
  <si>
    <t>2.1.</t>
  </si>
  <si>
    <t>Imprumut pentru realizarea investitiei</t>
  </si>
  <si>
    <t>2.2.</t>
  </si>
  <si>
    <t>Alte Credite pe termen mediu si lung, leasinguri, alte datorii financiare</t>
  </si>
  <si>
    <t>Credite pe termen scurt</t>
  </si>
  <si>
    <t>Total intrari de lichiditati din activitatea de finantare</t>
  </si>
  <si>
    <t xml:space="preserve">Rambursari de Credite pe termen mediu si lung, din care:  </t>
  </si>
  <si>
    <t xml:space="preserve">      Rate la imprumut - cofinantare la proiect</t>
  </si>
  <si>
    <t xml:space="preserve">      Rate la alte credite pe termen mediu si lung, leasinguri, alte datorii financ.</t>
  </si>
  <si>
    <t>Rambursari de credite pe termen scurt</t>
  </si>
  <si>
    <t>Dividende (inclusiv impozitele aferentăe)</t>
  </si>
  <si>
    <t>Total iesiri de lichiditati din activitatea finantare</t>
  </si>
  <si>
    <t>Flux de lichiditati din activitatea de finantare</t>
  </si>
  <si>
    <t>ACTIVITATEA DE INVESTITII</t>
  </si>
  <si>
    <t>INCASARI DIN ACTIVITATEA DE INVESTITII</t>
  </si>
  <si>
    <t>Vanzari de active, incl TVA</t>
  </si>
  <si>
    <t>Total intrari de lichididati din activitatea de investitii</t>
  </si>
  <si>
    <t>PLATI DIN ACTIVITATEA DE INVESTITII (inlcusiv reinvestirile din cadrul proiectului de investitii)</t>
  </si>
  <si>
    <t>Cresterea investitiilor in curs (esalonat cf. Grafic realizare)</t>
  </si>
  <si>
    <t>Total iesiri de lichididati din activitatea de investitii</t>
  </si>
  <si>
    <t>Flux de lichiditati din activitatea de  investitii</t>
  </si>
  <si>
    <t>Flux de lichiditati din activitatea de investitii si finantare</t>
  </si>
  <si>
    <t>INCASARI DIN ACTIVITATEA DE EXPLOATARE</t>
  </si>
  <si>
    <t>Venituri din exploatare, incl TVA</t>
  </si>
  <si>
    <t>Venituri din  vanzari produse (fără TVA)</t>
  </si>
  <si>
    <t>TVA aferentă veniturilor din vanzari produse</t>
  </si>
  <si>
    <t>11.2.</t>
  </si>
  <si>
    <t>Venituri din prestari servicii (fără TVA)</t>
  </si>
  <si>
    <t>TVA aferentă veniturilor din  prestari servicii</t>
  </si>
  <si>
    <t>11.3.</t>
  </si>
  <si>
    <t>Venituri din vanzari marfuri (fără TVA)</t>
  </si>
  <si>
    <t>TVA aferentă veniturilor din vanzari marfuri</t>
  </si>
  <si>
    <t>11.4.</t>
  </si>
  <si>
    <t>Venituri din subventii de exploatare aferente cifrei de afaceri nete</t>
  </si>
  <si>
    <t>Venituri din subventii de exploatare aferentă cifrei de afaceri nete (fără TVA)</t>
  </si>
  <si>
    <t>TVA aferentă din subventii de exploatare aferentăe cifrei de afaceri nete</t>
  </si>
  <si>
    <t>11.6.</t>
  </si>
  <si>
    <t>Venituri din alte activitati</t>
  </si>
  <si>
    <t>Venituri din alte activități (fără TVA)</t>
  </si>
  <si>
    <t>TVA aferentă veniturilor din alte activități</t>
  </si>
  <si>
    <t>11.9.</t>
  </si>
  <si>
    <t>Alte venituri din exploatare (fără TVA)</t>
  </si>
  <si>
    <t>TVA aferentă altor venituri din exploatare</t>
  </si>
  <si>
    <t>12.</t>
  </si>
  <si>
    <t>12.1.</t>
  </si>
  <si>
    <t>12.2.</t>
  </si>
  <si>
    <t>Venituri din investitii si imprumuturi care fac parte din activele imobilizate</t>
  </si>
  <si>
    <t>12.3.</t>
  </si>
  <si>
    <t>Venituri din dobanzi</t>
  </si>
  <si>
    <t>12.4.</t>
  </si>
  <si>
    <t>Alte venituri financiare (din diferente de curs valutar, din sconturi obtinute, din investitii financiare pe termen scurt, din investitii financiare cedate, alte venituri financiare)</t>
  </si>
  <si>
    <t>Total intrari de lichiditati din activitatea de exploatare</t>
  </si>
  <si>
    <t>Cheltuieli din exploatare, incl TVA</t>
  </si>
  <si>
    <t>Cheltuieli cu materiile prime si cu materialele consumabile (fără TVA)</t>
  </si>
  <si>
    <t>TVA aferentă cheltuielilor cu materiile prime si cu materialele consumabile (fără TVA)</t>
  </si>
  <si>
    <t>Alte cheltuieli materiale  (fără TVA)</t>
  </si>
  <si>
    <t>TVA aferentă altor cheltuieli materiale</t>
  </si>
  <si>
    <t>Alte cheltuieli externe (cu energia si apa)</t>
  </si>
  <si>
    <t>Alte cheltuieli externe (cu energia si apa) fără TVA</t>
  </si>
  <si>
    <t>TVA aferentă altor cheltuieli externe (cu energia si apa)</t>
  </si>
  <si>
    <t>Cheltuieli privind marfurile (fără TVA)</t>
  </si>
  <si>
    <t xml:space="preserve">TVA aferentă cheltuielilor privind marfurile </t>
  </si>
  <si>
    <t>Salarii si indemnizatii</t>
  </si>
  <si>
    <t>Alte cheltuieli de exploatare (prestatii externe, alte impozite, taxe si varsaminte asimilate, alte cheltuieli)</t>
  </si>
  <si>
    <t>Ate cheltuieli din exploatare (fără TVA)</t>
  </si>
  <si>
    <t>TVA aferentă altor cheltuieli din exploatare</t>
  </si>
  <si>
    <t>Cheltuielile privind dobanzile</t>
  </si>
  <si>
    <t xml:space="preserve">     La imprumut - cofinantare la proiect</t>
  </si>
  <si>
    <t xml:space="preserve">     La alte credite pe termen mediu si lung, leasinguri, alte datorii financiare</t>
  </si>
  <si>
    <t xml:space="preserve">     La credite pe termen scurt</t>
  </si>
  <si>
    <t>Alte cheltuieli financiare (pierderi din creante legate de participatii, din diferente de curs valutar, din sconturi obtinute, privind investitiile financiare cedate, alte cheltuieli financiare)</t>
  </si>
  <si>
    <t>Total iesiri de lichiditati din activitatea de exploatare</t>
  </si>
  <si>
    <t>Flux de lichiditati brut din activitatea de  exploatare</t>
  </si>
  <si>
    <t>Flux de lichiditati total brut inainte de plati pentru impozit pe profit /cifra de afaceri si ajustare TVA</t>
  </si>
  <si>
    <t>Impozit pe profit/cifra de afaceri</t>
  </si>
  <si>
    <t xml:space="preserve">Plati/incasari pentru impozite si taxe  </t>
  </si>
  <si>
    <t xml:space="preserve">Flux de lichiditati net din activitatea de exploatare </t>
  </si>
  <si>
    <t>FLUX DE LICHIDITATI (CASH FLOW)</t>
  </si>
  <si>
    <t xml:space="preserve">Flux de lichiditati net al perioadei </t>
  </si>
  <si>
    <t>Tabel 2 - Proiectia Contului de profit si pierdere la nivelul intregii activitati a intreprinderii, pe perioada de implementare a proiectului</t>
  </si>
  <si>
    <t>VENITURI DIN EXPLOATARE</t>
  </si>
  <si>
    <t xml:space="preserve">Cifra de afaceri </t>
  </si>
  <si>
    <t>Venituri  din productia realizata pentru scopuri proprii si capitalizata</t>
  </si>
  <si>
    <t>Alte venituri din exploatare (inclusiv veniturile din subventii pentru investitii)</t>
  </si>
  <si>
    <t>Total venituri din exploatare</t>
  </si>
  <si>
    <t>CHELTUIELI DE EXPLOATARE</t>
  </si>
  <si>
    <t xml:space="preserve">Cheltuieli materiale, materii prime, mărfuri – total </t>
  </si>
  <si>
    <t>Cheltuieli cu personalul – total</t>
  </si>
  <si>
    <t>Ajustari de valoare si provizioane, amortizare - total</t>
  </si>
  <si>
    <t>Total cheltuieli de exploatare</t>
  </si>
  <si>
    <t>TOTAL VENITURI FINANCIARE</t>
  </si>
  <si>
    <t>Total venituri financiare</t>
  </si>
  <si>
    <t>CHELTUIELI FINANCIARE DIN CARE</t>
  </si>
  <si>
    <t>Alte cheltuieli financiare</t>
  </si>
  <si>
    <t xml:space="preserve">Total cheltuieli financiare </t>
  </si>
  <si>
    <t>Rezultat curent</t>
  </si>
  <si>
    <t>VENITURI TOTALE</t>
  </si>
  <si>
    <t>CHELTUIELI TOTALE</t>
  </si>
  <si>
    <t>REZULTATUL BRUT AL EXERCIŢIULUI FINANCIAR</t>
  </si>
  <si>
    <t>Impozit *</t>
  </si>
  <si>
    <t>REZULTATUL NET AL EXERCIŢIULUI FINANCIAR</t>
  </si>
  <si>
    <t>* in cazul microintreprinderilor, se va calcula impozitul pe profit sau impozitul pe cifra de afaceri, dupa cum este cazul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</si>
</sst>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0"/>
      <name val="Calibri"/>
      <family val="2"/>
      <charset val="238"/>
    </font>
    <font>
      <sz val="11"/>
      <color theme="1"/>
      <name val="Calibri"/>
      <family val="2"/>
      <charset val="238"/>
      <scheme val="minor"/>
    </font>
    <font>
      <sz val="11"/>
      <color theme="1"/>
      <name val="Calibri"/>
      <family val="2"/>
      <scheme val="minor"/>
    </font>
    <font>
      <sz val="12"/>
      <name val="Times New Roman"/>
      <family val="1"/>
    </font>
    <font>
      <b/>
      <sz val="12"/>
      <name val="Times New Roman"/>
      <family val="1"/>
    </font>
    <font>
      <b/>
      <sz val="10"/>
      <name val="Arial"/>
      <family val="2"/>
    </font>
    <font>
      <sz val="10"/>
      <name val="Times New Roman"/>
      <family val="1"/>
    </font>
    <font>
      <sz val="12"/>
      <name val="Arial"/>
      <family val="2"/>
    </font>
    <font>
      <b/>
      <sz val="12"/>
      <name val="Arial"/>
      <family val="2"/>
    </font>
    <font>
      <b/>
      <sz val="10"/>
      <color theme="1"/>
      <name val="Times New Roman"/>
      <family val="1"/>
    </font>
    <font>
      <sz val="10"/>
      <color theme="1"/>
      <name val="Trebuchet MS"/>
      <family val="2"/>
    </font>
    <font>
      <b/>
      <sz val="10"/>
      <color theme="1"/>
      <name val="Trebuchet MS"/>
      <family val="2"/>
    </font>
    <font>
      <sz val="10"/>
      <color theme="1"/>
      <name val="Times New Roman"/>
      <family val="1"/>
    </font>
    <font>
      <b/>
      <sz val="12"/>
      <color theme="1"/>
      <name val="Times New Roman"/>
      <family val="1"/>
    </font>
    <font>
      <sz val="10"/>
      <name val="Trebuchet MS"/>
      <family val="2"/>
    </font>
    <font>
      <sz val="10"/>
      <color theme="0" tint="-0.249977111117893"/>
      <name val="Times New Roman"/>
      <family val="1"/>
    </font>
    <font>
      <sz val="11"/>
      <color theme="1"/>
      <name val="Calibri"/>
      <family val="2"/>
      <charset val="238"/>
      <scheme val="minor"/>
    </font>
    <font>
      <sz val="11"/>
      <color indexed="8"/>
      <name val="Calibri"/>
      <family val="2"/>
    </font>
    <font>
      <sz val="10"/>
      <color theme="1"/>
      <name val="Arial"/>
      <family val="2"/>
    </font>
    <font>
      <sz val="14"/>
      <name val="Arial"/>
      <family val="2"/>
    </font>
    <font>
      <b/>
      <sz val="11"/>
      <color theme="1"/>
      <name val="Calibri"/>
      <family val="2"/>
      <charset val="238"/>
      <scheme val="minor"/>
    </font>
    <font>
      <sz val="11"/>
      <color theme="1"/>
      <name val="Times New Roman"/>
      <family val="1"/>
    </font>
    <font>
      <b/>
      <sz val="10"/>
      <name val="Trebuchet MS"/>
      <family val="2"/>
    </font>
    <font>
      <b/>
      <sz val="11"/>
      <color theme="1"/>
      <name val="Trebuchet MS"/>
      <family val="2"/>
    </font>
    <font>
      <sz val="9"/>
      <color theme="1"/>
      <name val="Calibri"/>
      <family val="2"/>
      <charset val="238"/>
      <scheme val="minor"/>
    </font>
    <font>
      <b/>
      <sz val="10"/>
      <name val="Calibri"/>
      <family val="2"/>
      <charset val="238"/>
    </font>
    <font>
      <sz val="10"/>
      <name val="Calibri"/>
      <family val="2"/>
      <charset val="238"/>
    </font>
    <font>
      <sz val="10"/>
      <color theme="1"/>
      <name val="Calibri"/>
      <family val="2"/>
      <charset val="238"/>
      <scheme val="minor"/>
    </font>
    <font>
      <sz val="9"/>
      <name val="Times New Roman"/>
      <family val="1"/>
      <charset val="238"/>
    </font>
    <font>
      <sz val="10"/>
      <name val="Calibri"/>
      <family val="2"/>
      <charset val="238"/>
      <scheme val="minor"/>
    </font>
    <font>
      <b/>
      <sz val="10"/>
      <name val="Calibri"/>
      <family val="2"/>
      <charset val="238"/>
      <scheme val="minor"/>
    </font>
    <font>
      <sz val="10"/>
      <color theme="0" tint="-0.249977111117893"/>
      <name val="Calibri"/>
      <family val="2"/>
      <charset val="238"/>
      <scheme val="minor"/>
    </font>
    <font>
      <b/>
      <u/>
      <sz val="10"/>
      <color theme="1"/>
      <name val="Calibri"/>
      <family val="2"/>
      <charset val="238"/>
      <scheme val="minor"/>
    </font>
    <font>
      <u/>
      <sz val="10"/>
      <color theme="1"/>
      <name val="Calibri"/>
      <family val="2"/>
      <charset val="238"/>
      <scheme val="minor"/>
    </font>
    <font>
      <b/>
      <u/>
      <sz val="11"/>
      <color theme="1"/>
      <name val="Calibri"/>
      <family val="2"/>
      <charset val="238"/>
      <scheme val="minor"/>
    </font>
    <font>
      <sz val="10"/>
      <color rgb="FF000000"/>
      <name val="Calibri"/>
      <family val="2"/>
      <charset val="238"/>
      <scheme val="minor"/>
    </font>
    <font>
      <b/>
      <sz val="10"/>
      <color theme="1"/>
      <name val="Calibri"/>
      <family val="2"/>
      <charset val="238"/>
      <scheme val="minor"/>
    </font>
    <font>
      <b/>
      <sz val="11"/>
      <name val="Calibri"/>
      <family val="2"/>
      <charset val="238"/>
      <scheme val="minor"/>
    </font>
    <font>
      <b/>
      <sz val="9"/>
      <color theme="1"/>
      <name val="Calibri"/>
      <family val="2"/>
      <charset val="238"/>
      <scheme val="minor"/>
    </font>
    <font>
      <sz val="9"/>
      <name val="Calibri"/>
      <family val="2"/>
      <charset val="238"/>
      <scheme val="minor"/>
    </font>
    <font>
      <b/>
      <sz val="9"/>
      <name val="Calibri"/>
      <family val="2"/>
      <charset val="238"/>
      <scheme val="minor"/>
    </font>
    <font>
      <b/>
      <sz val="9"/>
      <color rgb="FFFF0000"/>
      <name val="Calibri"/>
      <family val="2"/>
      <charset val="238"/>
      <scheme val="minor"/>
    </font>
    <font>
      <sz val="9"/>
      <color theme="0" tint="-0.249977111117893"/>
      <name val="Calibri"/>
      <family val="2"/>
      <charset val="238"/>
      <scheme val="minor"/>
    </font>
    <font>
      <i/>
      <sz val="10"/>
      <color theme="1"/>
      <name val="Calibri"/>
      <family val="2"/>
      <charset val="238"/>
      <scheme val="minor"/>
    </font>
    <font>
      <i/>
      <sz val="10"/>
      <name val="Calibri"/>
      <family val="2"/>
      <charset val="238"/>
      <scheme val="minor"/>
    </font>
    <font>
      <sz val="10"/>
      <color rgb="FF000000"/>
      <name val="Calibri"/>
      <family val="2"/>
    </font>
    <font>
      <sz val="11"/>
      <color rgb="FF000000"/>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6">
    <xf numFmtId="0" fontId="0" fillId="0" borderId="0"/>
    <xf numFmtId="0" fontId="16" fillId="0" borderId="0"/>
    <xf numFmtId="0" fontId="2" fillId="0" borderId="0"/>
    <xf numFmtId="9" fontId="17" fillId="0" borderId="0"/>
    <xf numFmtId="0" fontId="2" fillId="0" borderId="0"/>
    <xf numFmtId="9" fontId="26" fillId="0" borderId="0"/>
  </cellStyleXfs>
  <cellXfs count="406">
    <xf numFmtId="0" fontId="0" fillId="0" borderId="0" xfId="0"/>
    <xf numFmtId="0" fontId="25" fillId="0" borderId="0" xfId="0" applyFont="1" applyAlignment="1">
      <alignment horizontal="left" vertical="top" wrapText="1"/>
    </xf>
    <xf numFmtId="0" fontId="25" fillId="0" borderId="13" xfId="0" applyFont="1" applyBorder="1" applyAlignment="1">
      <alignment vertical="top"/>
    </xf>
    <xf numFmtId="0" fontId="25" fillId="0" borderId="4" xfId="0" applyFont="1" applyBorder="1" applyAlignment="1">
      <alignment vertical="top"/>
    </xf>
    <xf numFmtId="0" fontId="39" fillId="0" borderId="3" xfId="4" applyFont="1" applyBorder="1" applyAlignment="1">
      <alignment horizontal="right" vertical="top" wrapText="1"/>
    </xf>
    <xf numFmtId="0" fontId="39" fillId="0" borderId="3" xfId="0" applyFont="1" applyBorder="1" applyAlignment="1">
      <alignment horizontal="right" vertical="top" wrapText="1"/>
    </xf>
    <xf numFmtId="4" fontId="39" fillId="0" borderId="3" xfId="4" applyNumberFormat="1" applyFont="1" applyBorder="1" applyAlignment="1">
      <alignment horizontal="left" vertical="top" wrapText="1"/>
    </xf>
    <xf numFmtId="0" fontId="24" fillId="0" borderId="3" xfId="0" applyFont="1" applyBorder="1" applyAlignment="1">
      <alignment horizontal="right" vertical="top"/>
    </xf>
    <xf numFmtId="4" fontId="39" fillId="0" borderId="3" xfId="0" applyNumberFormat="1" applyFont="1" applyBorder="1" applyAlignment="1">
      <alignment vertical="top" wrapText="1"/>
    </xf>
    <xf numFmtId="0" fontId="39" fillId="0" borderId="3" xfId="0" applyFont="1" applyBorder="1" applyAlignment="1">
      <alignment vertical="top"/>
    </xf>
    <xf numFmtId="0" fontId="40" fillId="0" borderId="0" xfId="4" applyFont="1" applyAlignment="1">
      <alignment horizontal="right" vertical="top" wrapText="1"/>
    </xf>
    <xf numFmtId="0" fontId="39" fillId="0" borderId="3" xfId="0" applyFont="1" applyBorder="1" applyAlignment="1">
      <alignment horizontal="right" vertical="top"/>
    </xf>
    <xf numFmtId="0" fontId="40" fillId="0" borderId="3" xfId="0" applyFont="1" applyBorder="1" applyAlignment="1">
      <alignment horizontal="right" vertical="top"/>
    </xf>
    <xf numFmtId="3" fontId="39" fillId="0" borderId="0" xfId="0" applyNumberFormat="1" applyFont="1" applyAlignment="1">
      <alignment horizontal="center" vertical="top"/>
    </xf>
    <xf numFmtId="4" fontId="40" fillId="0" borderId="3" xfId="0" applyNumberFormat="1" applyFont="1" applyBorder="1" applyAlignment="1">
      <alignment vertical="top" wrapText="1"/>
    </xf>
    <xf numFmtId="3" fontId="40" fillId="0" borderId="3" xfId="4" applyNumberFormat="1" applyFont="1" applyBorder="1" applyAlignment="1">
      <alignment horizontal="center" vertical="center" wrapText="1"/>
    </xf>
    <xf numFmtId="0" fontId="14" fillId="0" borderId="0" xfId="0" applyFont="1" applyAlignment="1">
      <alignment vertical="top"/>
    </xf>
    <xf numFmtId="3" fontId="40" fillId="0" borderId="3" xfId="4" applyNumberFormat="1" applyFont="1" applyBorder="1" applyAlignment="1">
      <alignment horizontal="center" vertical="top" wrapText="1"/>
    </xf>
    <xf numFmtId="0" fontId="39" fillId="0" borderId="3" xfId="0" quotePrefix="1" applyFont="1" applyBorder="1" applyAlignment="1">
      <alignment horizontal="right" vertical="top" wrapText="1"/>
    </xf>
    <xf numFmtId="0" fontId="22" fillId="0" borderId="0" xfId="0" applyFont="1" applyAlignment="1">
      <alignment vertical="top"/>
    </xf>
    <xf numFmtId="0" fontId="40" fillId="0" borderId="3" xfId="0" applyFont="1" applyBorder="1" applyAlignment="1">
      <alignment horizontal="right" vertical="top" wrapText="1"/>
    </xf>
    <xf numFmtId="4" fontId="40" fillId="0" borderId="3" xfId="4" applyNumberFormat="1" applyFont="1" applyBorder="1" applyAlignment="1">
      <alignment horizontal="left" vertical="top" wrapText="1"/>
    </xf>
    <xf numFmtId="0" fontId="39" fillId="4" borderId="3" xfId="0" applyFont="1" applyFill="1" applyBorder="1" applyAlignment="1">
      <alignment horizontal="right" vertical="top" wrapText="1"/>
    </xf>
    <xf numFmtId="4" fontId="40" fillId="4" borderId="3" xfId="0" applyNumberFormat="1" applyFont="1" applyFill="1" applyBorder="1" applyAlignment="1">
      <alignment vertical="top" wrapText="1"/>
    </xf>
    <xf numFmtId="3" fontId="39" fillId="0" borderId="3" xfId="4" applyNumberFormat="1" applyFont="1" applyBorder="1" applyAlignment="1">
      <alignment vertical="top" wrapText="1"/>
    </xf>
    <xf numFmtId="0" fontId="40" fillId="0" borderId="3" xfId="4" applyFont="1" applyBorder="1" applyAlignment="1">
      <alignment horizontal="right" vertical="top" wrapText="1"/>
    </xf>
    <xf numFmtId="3" fontId="40" fillId="0" borderId="4" xfId="4" applyNumberFormat="1" applyFont="1" applyBorder="1" applyAlignment="1">
      <alignment vertical="top" wrapText="1"/>
    </xf>
    <xf numFmtId="0" fontId="39" fillId="0" borderId="0" xfId="0" applyFont="1" applyAlignment="1">
      <alignment horizontal="right" vertical="top"/>
    </xf>
    <xf numFmtId="4" fontId="27" fillId="0" borderId="0" xfId="0" applyNumberFormat="1" applyFont="1" applyAlignment="1">
      <alignment horizontal="right" vertical="top"/>
    </xf>
    <xf numFmtId="4" fontId="27" fillId="0" borderId="0" xfId="0" applyNumberFormat="1" applyFont="1" applyAlignment="1">
      <alignment vertical="top"/>
    </xf>
    <xf numFmtId="0" fontId="33" fillId="0" borderId="0" xfId="0" applyFont="1" applyAlignment="1">
      <alignment horizontal="left" vertical="top" wrapText="1"/>
    </xf>
    <xf numFmtId="3" fontId="29" fillId="0" borderId="3" xfId="0" applyNumberFormat="1" applyFont="1" applyBorder="1" applyAlignment="1">
      <alignment vertical="top" wrapText="1"/>
    </xf>
    <xf numFmtId="4" fontId="29" fillId="2" borderId="3" xfId="0" applyNumberFormat="1" applyFont="1" applyFill="1" applyBorder="1" applyAlignment="1" applyProtection="1">
      <alignment horizontal="right" vertical="top"/>
      <protection locked="0"/>
    </xf>
    <xf numFmtId="3" fontId="30" fillId="0" borderId="3" xfId="0" applyNumberFormat="1" applyFont="1" applyBorder="1" applyAlignment="1">
      <alignment vertical="top" wrapText="1"/>
    </xf>
    <xf numFmtId="4" fontId="30" fillId="0" borderId="0" xfId="0" applyNumberFormat="1" applyFont="1" applyAlignment="1">
      <alignment vertical="top"/>
    </xf>
    <xf numFmtId="4" fontId="29" fillId="0" borderId="0" xfId="0" applyNumberFormat="1" applyFont="1" applyAlignment="1">
      <alignment vertical="top"/>
    </xf>
    <xf numFmtId="4" fontId="30" fillId="0" borderId="3" xfId="0" applyNumberFormat="1" applyFont="1" applyBorder="1" applyAlignment="1">
      <alignment vertical="top"/>
    </xf>
    <xf numFmtId="4" fontId="29" fillId="0" borderId="3" xfId="0" applyNumberFormat="1" applyFont="1" applyBorder="1" applyAlignment="1">
      <alignment horizontal="right" vertical="top"/>
    </xf>
    <xf numFmtId="3" fontId="27" fillId="0" borderId="3" xfId="0" applyNumberFormat="1" applyFont="1" applyBorder="1" applyAlignment="1">
      <alignment vertical="top" wrapText="1"/>
    </xf>
    <xf numFmtId="4" fontId="30" fillId="2" borderId="3" xfId="0" applyNumberFormat="1" applyFont="1" applyFill="1" applyBorder="1" applyAlignment="1" applyProtection="1">
      <alignment horizontal="right" vertical="top"/>
      <protection locked="0"/>
    </xf>
    <xf numFmtId="4" fontId="30" fillId="0" borderId="3" xfId="0" applyNumberFormat="1" applyFont="1" applyBorder="1" applyAlignment="1">
      <alignment horizontal="center" vertical="top"/>
    </xf>
    <xf numFmtId="4" fontId="29" fillId="2" borderId="3" xfId="0" applyNumberFormat="1" applyFont="1" applyFill="1" applyBorder="1" applyAlignment="1" applyProtection="1">
      <alignment vertical="top"/>
      <protection locked="0"/>
    </xf>
    <xf numFmtId="4" fontId="29" fillId="0" borderId="3" xfId="0" applyNumberFormat="1" applyFont="1" applyBorder="1" applyAlignment="1">
      <alignment vertical="top"/>
    </xf>
    <xf numFmtId="4" fontId="30" fillId="2" borderId="3" xfId="0" applyNumberFormat="1" applyFont="1" applyFill="1" applyBorder="1" applyAlignment="1" applyProtection="1">
      <alignment vertical="top"/>
      <protection locked="0"/>
    </xf>
    <xf numFmtId="3" fontId="40" fillId="0" borderId="3" xfId="0" applyNumberFormat="1" applyFont="1" applyBorder="1" applyAlignment="1">
      <alignment vertical="top" wrapText="1"/>
    </xf>
    <xf numFmtId="10" fontId="39" fillId="0" borderId="3" xfId="0" applyNumberFormat="1" applyFont="1" applyBorder="1" applyAlignment="1">
      <alignment vertical="top" wrapText="1"/>
    </xf>
    <xf numFmtId="10" fontId="40" fillId="0" borderId="3" xfId="0" applyNumberFormat="1" applyFont="1" applyBorder="1" applyAlignment="1">
      <alignment vertical="top" wrapText="1"/>
    </xf>
    <xf numFmtId="0" fontId="40" fillId="0" borderId="0" xfId="0" applyFont="1" applyAlignment="1">
      <alignment vertical="top"/>
    </xf>
    <xf numFmtId="0" fontId="30" fillId="0" borderId="0" xfId="0" applyFont="1" applyAlignment="1">
      <alignment vertical="top"/>
    </xf>
    <xf numFmtId="0" fontId="4" fillId="0" borderId="0" xfId="0" applyFont="1" applyAlignment="1">
      <alignment vertical="top"/>
    </xf>
    <xf numFmtId="0" fontId="39" fillId="0" borderId="3" xfId="0" applyFont="1" applyBorder="1" applyAlignment="1">
      <alignment vertical="top" wrapText="1"/>
    </xf>
    <xf numFmtId="3" fontId="39" fillId="0" borderId="3" xfId="0" applyNumberFormat="1" applyFont="1" applyBorder="1" applyAlignment="1">
      <alignment vertical="top" wrapText="1"/>
    </xf>
    <xf numFmtId="3" fontId="40" fillId="0" borderId="0" xfId="0" applyNumberFormat="1" applyFont="1" applyAlignment="1">
      <alignment vertical="top" wrapText="1"/>
    </xf>
    <xf numFmtId="10" fontId="40" fillId="0" borderId="0" xfId="0" applyNumberFormat="1" applyFont="1" applyAlignment="1">
      <alignment vertical="top" wrapText="1"/>
    </xf>
    <xf numFmtId="0" fontId="39" fillId="0" borderId="3" xfId="0" applyFont="1" applyBorder="1" applyAlignment="1">
      <alignment horizontal="left" vertical="top"/>
    </xf>
    <xf numFmtId="0" fontId="42" fillId="0" borderId="0" xfId="0" applyFont="1" applyAlignment="1">
      <alignment vertical="top" wrapText="1"/>
    </xf>
    <xf numFmtId="0" fontId="42" fillId="0" borderId="0" xfId="0" applyFont="1" applyAlignment="1">
      <alignment vertical="top"/>
    </xf>
    <xf numFmtId="0" fontId="31" fillId="0" borderId="0" xfId="0" applyFont="1" applyAlignment="1">
      <alignment vertical="top"/>
    </xf>
    <xf numFmtId="0" fontId="15" fillId="0" borderId="0" xfId="0" applyFont="1" applyAlignment="1">
      <alignment vertical="top"/>
    </xf>
    <xf numFmtId="10" fontId="39" fillId="0" borderId="0" xfId="0" applyNumberFormat="1" applyFont="1" applyAlignment="1">
      <alignment vertical="top" wrapText="1"/>
    </xf>
    <xf numFmtId="0" fontId="7" fillId="0" borderId="0" xfId="0" applyFont="1" applyAlignment="1">
      <alignment vertical="top"/>
    </xf>
    <xf numFmtId="10" fontId="29" fillId="0" borderId="3" xfId="0" applyNumberFormat="1" applyFont="1" applyBorder="1" applyAlignment="1">
      <alignment vertical="top"/>
    </xf>
    <xf numFmtId="3" fontId="29" fillId="0" borderId="0" xfId="0" applyNumberFormat="1" applyFont="1" applyAlignment="1">
      <alignment horizontal="right" vertical="top"/>
    </xf>
    <xf numFmtId="3" fontId="29" fillId="0" borderId="3" xfId="0" applyNumberFormat="1" applyFont="1" applyBorder="1" applyAlignment="1">
      <alignment vertical="top"/>
    </xf>
    <xf numFmtId="0" fontId="5" fillId="0" borderId="0" xfId="0" applyFont="1" applyAlignment="1">
      <alignment vertical="top"/>
    </xf>
    <xf numFmtId="0" fontId="29" fillId="3" borderId="3" xfId="0" applyFont="1" applyFill="1" applyBorder="1" applyAlignment="1">
      <alignment vertical="top" wrapText="1"/>
    </xf>
    <xf numFmtId="3" fontId="29" fillId="3" borderId="3" xfId="0" applyNumberFormat="1" applyFont="1" applyFill="1" applyBorder="1" applyAlignment="1">
      <alignment vertical="top"/>
    </xf>
    <xf numFmtId="0" fontId="29" fillId="0" borderId="3" xfId="0" applyFont="1" applyBorder="1" applyAlignment="1">
      <alignment vertical="top" wrapText="1"/>
    </xf>
    <xf numFmtId="0" fontId="29" fillId="0" borderId="3" xfId="0" applyFont="1" applyBorder="1" applyAlignment="1">
      <alignment vertical="top"/>
    </xf>
    <xf numFmtId="9" fontId="29" fillId="0" borderId="3" xfId="0" applyNumberFormat="1" applyFont="1" applyBorder="1" applyAlignment="1">
      <alignment vertical="top"/>
    </xf>
    <xf numFmtId="9" fontId="30" fillId="0" borderId="3" xfId="0" applyNumberFormat="1" applyFont="1" applyBorder="1" applyAlignment="1">
      <alignment vertical="top"/>
    </xf>
    <xf numFmtId="1" fontId="29" fillId="0" borderId="3" xfId="0" applyNumberFormat="1" applyFont="1" applyBorder="1" applyAlignment="1">
      <alignment vertical="top"/>
    </xf>
    <xf numFmtId="0" fontId="8" fillId="0" borderId="0" xfId="0" applyFont="1" applyAlignment="1">
      <alignment vertical="top"/>
    </xf>
    <xf numFmtId="0" fontId="30" fillId="0" borderId="0" xfId="0" applyFont="1" applyAlignment="1">
      <alignment vertical="top" wrapText="1"/>
    </xf>
    <xf numFmtId="0" fontId="29" fillId="0" borderId="1" xfId="0" applyFont="1" applyBorder="1" applyAlignment="1">
      <alignment vertical="top" wrapText="1"/>
    </xf>
    <xf numFmtId="9" fontId="29" fillId="0" borderId="1" xfId="0" applyNumberFormat="1" applyFont="1" applyBorder="1" applyAlignment="1">
      <alignment vertical="top"/>
    </xf>
    <xf numFmtId="2" fontId="29" fillId="0" borderId="3" xfId="0" applyNumberFormat="1" applyFont="1" applyBorder="1" applyAlignment="1">
      <alignment vertical="top"/>
    </xf>
    <xf numFmtId="0" fontId="0" fillId="0" borderId="0" xfId="0" applyAlignment="1">
      <alignment horizontal="left" vertical="top"/>
    </xf>
    <xf numFmtId="0" fontId="0" fillId="0" borderId="6" xfId="0" applyBorder="1" applyAlignment="1">
      <alignment vertical="top"/>
    </xf>
    <xf numFmtId="0" fontId="0" fillId="0" borderId="1" xfId="0" applyBorder="1" applyAlignment="1">
      <alignment vertical="top"/>
    </xf>
    <xf numFmtId="0" fontId="0" fillId="0" borderId="9" xfId="0" applyBorder="1" applyAlignment="1">
      <alignment vertical="top"/>
    </xf>
    <xf numFmtId="0" fontId="27" fillId="0" borderId="3" xfId="1" applyFont="1" applyBorder="1" applyAlignment="1">
      <alignment vertical="top" wrapText="1"/>
    </xf>
    <xf numFmtId="0" fontId="24" fillId="0" borderId="0" xfId="1" applyFont="1" applyAlignment="1">
      <alignment vertical="top"/>
    </xf>
    <xf numFmtId="0" fontId="21" fillId="0" borderId="0" xfId="1" applyFont="1" applyAlignment="1">
      <alignment vertical="top"/>
    </xf>
    <xf numFmtId="0" fontId="36" fillId="0" borderId="3" xfId="1" applyFont="1" applyBorder="1" applyAlignment="1">
      <alignment horizontal="center" vertical="top" wrapText="1"/>
    </xf>
    <xf numFmtId="0" fontId="36" fillId="0" borderId="3" xfId="1" applyFont="1" applyBorder="1" applyAlignment="1">
      <alignment vertical="top" wrapText="1"/>
    </xf>
    <xf numFmtId="4" fontId="10" fillId="0" borderId="0" xfId="0" applyNumberFormat="1" applyFont="1" applyAlignment="1">
      <alignment horizontal="center" vertical="top"/>
    </xf>
    <xf numFmtId="4" fontId="14" fillId="0" borderId="0" xfId="0" applyNumberFormat="1" applyFont="1" applyAlignment="1">
      <alignment vertical="top"/>
    </xf>
    <xf numFmtId="4" fontId="11" fillId="0" borderId="0" xfId="0" applyNumberFormat="1" applyFont="1" applyAlignment="1">
      <alignment horizontal="center" vertical="top"/>
    </xf>
    <xf numFmtId="4" fontId="0" fillId="0" borderId="0" xfId="0" applyNumberFormat="1" applyAlignment="1">
      <alignment vertical="top"/>
    </xf>
    <xf numFmtId="0" fontId="24" fillId="0" borderId="0" xfId="0" applyFont="1" applyAlignment="1">
      <alignment vertical="top" wrapText="1"/>
    </xf>
    <xf numFmtId="3" fontId="24" fillId="0" borderId="0" xfId="0" applyNumberFormat="1" applyFont="1" applyAlignment="1">
      <alignment vertical="top" wrapText="1"/>
    </xf>
    <xf numFmtId="3" fontId="39" fillId="0" borderId="0" xfId="0" applyNumberFormat="1" applyFont="1" applyAlignment="1">
      <alignment vertical="top" wrapText="1"/>
    </xf>
    <xf numFmtId="3" fontId="24" fillId="0" borderId="0" xfId="0" applyNumberFormat="1" applyFont="1" applyAlignment="1">
      <alignment horizontal="left" vertical="top" wrapText="1"/>
    </xf>
    <xf numFmtId="3" fontId="27" fillId="0" borderId="0" xfId="0" applyNumberFormat="1" applyFont="1" applyAlignment="1">
      <alignment vertical="top"/>
    </xf>
    <xf numFmtId="3" fontId="38" fillId="0" borderId="0" xfId="0" applyNumberFormat="1" applyFont="1" applyAlignment="1">
      <alignment vertical="top"/>
    </xf>
    <xf numFmtId="3" fontId="36" fillId="0" borderId="0" xfId="0" applyNumberFormat="1" applyFont="1" applyAlignment="1">
      <alignment vertical="top"/>
    </xf>
    <xf numFmtId="0" fontId="40" fillId="0" borderId="0" xfId="0" applyFont="1" applyAlignment="1">
      <alignment vertical="top" wrapText="1"/>
    </xf>
    <xf numFmtId="0" fontId="1" fillId="0" borderId="0" xfId="1" applyFont="1" applyAlignment="1">
      <alignment vertical="top"/>
    </xf>
    <xf numFmtId="3" fontId="30" fillId="0" borderId="3" xfId="0" applyNumberFormat="1" applyFont="1" applyBorder="1" applyAlignment="1">
      <alignment vertical="top"/>
    </xf>
    <xf numFmtId="0" fontId="35" fillId="0" borderId="3" xfId="0" applyFont="1" applyBorder="1" applyAlignment="1">
      <alignment vertical="top" wrapText="1"/>
    </xf>
    <xf numFmtId="4" fontId="29" fillId="0" borderId="0" xfId="0" applyNumberFormat="1" applyFont="1" applyAlignment="1">
      <alignment vertical="top" wrapText="1"/>
    </xf>
    <xf numFmtId="0" fontId="29" fillId="0" borderId="0" xfId="0" applyFont="1" applyAlignment="1">
      <alignment vertical="top" wrapText="1"/>
    </xf>
    <xf numFmtId="9" fontId="29" fillId="0" borderId="0" xfId="0" applyNumberFormat="1" applyFont="1" applyAlignment="1">
      <alignment vertical="top"/>
    </xf>
    <xf numFmtId="0" fontId="30" fillId="0" borderId="3" xfId="0" applyFont="1" applyBorder="1" applyAlignment="1">
      <alignment vertical="top"/>
    </xf>
    <xf numFmtId="3" fontId="29" fillId="0" borderId="3" xfId="0" applyNumberFormat="1" applyFont="1" applyBorder="1" applyAlignment="1">
      <alignment horizontal="right" vertical="top"/>
    </xf>
    <xf numFmtId="0" fontId="29" fillId="0" borderId="3" xfId="1" applyFont="1" applyBorder="1" applyAlignment="1">
      <alignment vertical="top" wrapText="1"/>
    </xf>
    <xf numFmtId="0" fontId="29" fillId="4" borderId="3" xfId="0" applyFont="1" applyFill="1" applyBorder="1" applyAlignment="1">
      <alignment vertical="top" wrapText="1"/>
    </xf>
    <xf numFmtId="0" fontId="20" fillId="0" borderId="0" xfId="1" applyFont="1" applyAlignment="1">
      <alignment horizontal="left" vertical="top" wrapText="1"/>
    </xf>
    <xf numFmtId="0" fontId="27" fillId="0" borderId="0" xfId="1" applyFont="1" applyAlignment="1">
      <alignment vertical="top" wrapText="1"/>
    </xf>
    <xf numFmtId="0" fontId="36" fillId="0" borderId="0" xfId="1" applyFont="1" applyAlignment="1">
      <alignment vertical="top" wrapText="1"/>
    </xf>
    <xf numFmtId="0" fontId="20" fillId="0" borderId="0" xfId="1" applyFont="1" applyAlignment="1">
      <alignment vertical="top"/>
    </xf>
    <xf numFmtId="49" fontId="29" fillId="0" borderId="3" xfId="1" applyNumberFormat="1" applyFont="1" applyBorder="1" applyAlignment="1">
      <alignment vertical="top"/>
    </xf>
    <xf numFmtId="49" fontId="29" fillId="0" borderId="7" xfId="1" applyNumberFormat="1" applyFont="1" applyBorder="1" applyAlignment="1">
      <alignment vertical="top"/>
    </xf>
    <xf numFmtId="49" fontId="27" fillId="0" borderId="0" xfId="1" applyNumberFormat="1" applyFont="1" applyAlignment="1">
      <alignment vertical="top"/>
    </xf>
    <xf numFmtId="49" fontId="21" fillId="0" borderId="0" xfId="1" applyNumberFormat="1" applyFont="1" applyAlignment="1">
      <alignment vertical="top"/>
    </xf>
    <xf numFmtId="49" fontId="27" fillId="0" borderId="3" xfId="1" applyNumberFormat="1" applyFont="1" applyBorder="1" applyAlignment="1">
      <alignment horizontal="left" vertical="top"/>
    </xf>
    <xf numFmtId="0" fontId="30" fillId="0" borderId="3" xfId="1" applyFont="1" applyBorder="1" applyAlignment="1">
      <alignment horizontal="right" vertical="top" wrapText="1"/>
    </xf>
    <xf numFmtId="0" fontId="29" fillId="0" borderId="7" xfId="1" applyFont="1" applyBorder="1" applyAlignment="1">
      <alignment horizontal="right" vertical="top" wrapText="1"/>
    </xf>
    <xf numFmtId="0" fontId="36" fillId="0" borderId="0" xfId="1" applyFont="1" applyAlignment="1">
      <alignment horizontal="right" vertical="top"/>
    </xf>
    <xf numFmtId="3" fontId="39" fillId="2" borderId="3" xfId="0" applyNumberFormat="1" applyFont="1" applyFill="1" applyBorder="1" applyAlignment="1" applyProtection="1">
      <alignment horizontal="right" vertical="top"/>
      <protection locked="0"/>
    </xf>
    <xf numFmtId="3" fontId="39" fillId="0" borderId="3" xfId="0" applyNumberFormat="1" applyFont="1" applyBorder="1" applyAlignment="1">
      <alignment horizontal="right" vertical="top"/>
    </xf>
    <xf numFmtId="3" fontId="40" fillId="0" borderId="3" xfId="0" applyNumberFormat="1" applyFont="1" applyBorder="1" applyAlignment="1">
      <alignment horizontal="right" vertical="top"/>
    </xf>
    <xf numFmtId="0" fontId="20" fillId="0" borderId="0" xfId="1" applyFont="1" applyAlignment="1">
      <alignment horizontal="right" vertical="top"/>
    </xf>
    <xf numFmtId="4" fontId="29" fillId="2" borderId="3" xfId="1" applyNumberFormat="1" applyFont="1" applyFill="1" applyBorder="1" applyAlignment="1" applyProtection="1">
      <alignment horizontal="right" vertical="top"/>
      <protection locked="0"/>
    </xf>
    <xf numFmtId="4" fontId="29" fillId="0" borderId="3" xfId="1" applyNumberFormat="1" applyFont="1" applyBorder="1" applyAlignment="1">
      <alignment horizontal="right" vertical="top"/>
    </xf>
    <xf numFmtId="4" fontId="30" fillId="0" borderId="3" xfId="1" applyNumberFormat="1" applyFont="1" applyBorder="1" applyAlignment="1">
      <alignment horizontal="right" vertical="top"/>
    </xf>
    <xf numFmtId="4" fontId="29" fillId="2" borderId="7" xfId="1" applyNumberFormat="1" applyFont="1" applyFill="1" applyBorder="1" applyAlignment="1" applyProtection="1">
      <alignment horizontal="right" vertical="top"/>
      <protection locked="0"/>
    </xf>
    <xf numFmtId="4" fontId="29" fillId="0" borderId="7" xfId="1" applyNumberFormat="1" applyFont="1" applyBorder="1" applyAlignment="1">
      <alignment horizontal="right" vertical="top"/>
    </xf>
    <xf numFmtId="4" fontId="30" fillId="0" borderId="7" xfId="1" applyNumberFormat="1" applyFont="1" applyBorder="1" applyAlignment="1">
      <alignment horizontal="right" vertical="top"/>
    </xf>
    <xf numFmtId="4" fontId="27" fillId="0" borderId="0" xfId="1" applyNumberFormat="1" applyFont="1" applyAlignment="1">
      <alignment horizontal="right" vertical="top"/>
    </xf>
    <xf numFmtId="4" fontId="27" fillId="6" borderId="3" xfId="1" applyNumberFormat="1" applyFont="1" applyFill="1" applyBorder="1" applyAlignment="1" applyProtection="1">
      <alignment horizontal="right" vertical="top"/>
      <protection locked="0"/>
    </xf>
    <xf numFmtId="0" fontId="36" fillId="0" borderId="0" xfId="1" applyFont="1" applyAlignment="1">
      <alignment horizontal="left" vertical="top" wrapText="1"/>
    </xf>
    <xf numFmtId="4" fontId="40" fillId="0" borderId="0" xfId="0" applyNumberFormat="1" applyFont="1" applyAlignment="1">
      <alignment horizontal="left" vertical="top" wrapText="1"/>
    </xf>
    <xf numFmtId="0" fontId="40" fillId="0" borderId="10" xfId="0" applyFont="1" applyBorder="1" applyAlignment="1">
      <alignment horizontal="right" vertical="top"/>
    </xf>
    <xf numFmtId="4" fontId="40" fillId="0" borderId="10" xfId="0" applyNumberFormat="1" applyFont="1" applyBorder="1" applyAlignment="1">
      <alignment vertical="top" wrapText="1"/>
    </xf>
    <xf numFmtId="3" fontId="40" fillId="0" borderId="10" xfId="0" applyNumberFormat="1" applyFont="1" applyBorder="1" applyAlignment="1">
      <alignment horizontal="right" vertical="top"/>
    </xf>
    <xf numFmtId="0" fontId="38" fillId="0" borderId="3" xfId="0" applyFont="1" applyBorder="1" applyAlignment="1">
      <alignment horizontal="right" vertical="top"/>
    </xf>
    <xf numFmtId="4" fontId="40" fillId="0" borderId="0" xfId="0" applyNumberFormat="1" applyFont="1" applyAlignment="1">
      <alignment vertical="top"/>
    </xf>
    <xf numFmtId="4" fontId="40" fillId="0" borderId="3" xfId="0" applyNumberFormat="1" applyFont="1" applyBorder="1" applyAlignment="1">
      <alignment vertical="top"/>
    </xf>
    <xf numFmtId="3" fontId="24" fillId="2" borderId="3" xfId="0" applyNumberFormat="1" applyFont="1" applyFill="1" applyBorder="1" applyAlignment="1" applyProtection="1">
      <alignment vertical="top" wrapText="1"/>
      <protection locked="0"/>
    </xf>
    <xf numFmtId="9" fontId="24" fillId="0" borderId="3" xfId="5" applyFont="1" applyBorder="1" applyAlignment="1">
      <alignment vertical="top" wrapText="1"/>
    </xf>
    <xf numFmtId="3" fontId="24" fillId="0" borderId="3" xfId="0" applyNumberFormat="1" applyFont="1" applyBorder="1" applyAlignment="1">
      <alignment vertical="top" wrapText="1"/>
    </xf>
    <xf numFmtId="0" fontId="38" fillId="0" borderId="3" xfId="0" applyFont="1" applyBorder="1" applyAlignment="1">
      <alignment vertical="top" wrapText="1"/>
    </xf>
    <xf numFmtId="3" fontId="38" fillId="0" borderId="3" xfId="0" applyNumberFormat="1" applyFont="1" applyBorder="1" applyAlignment="1">
      <alignment vertical="top"/>
    </xf>
    <xf numFmtId="9" fontId="38" fillId="0" borderId="3" xfId="5" applyFont="1" applyBorder="1" applyAlignment="1">
      <alignment vertical="top" wrapText="1"/>
    </xf>
    <xf numFmtId="0" fontId="24" fillId="2" borderId="3" xfId="0" applyFont="1" applyFill="1" applyBorder="1" applyAlignment="1" applyProtection="1">
      <alignment vertical="top" wrapText="1"/>
      <protection locked="0"/>
    </xf>
    <xf numFmtId="3" fontId="40" fillId="5" borderId="10" xfId="0" applyNumberFormat="1" applyFont="1" applyFill="1" applyBorder="1" applyAlignment="1">
      <alignment horizontal="center" vertical="top"/>
    </xf>
    <xf numFmtId="3" fontId="24" fillId="0" borderId="3" xfId="0" applyNumberFormat="1" applyFont="1" applyBorder="1" applyAlignment="1">
      <alignment vertical="top"/>
    </xf>
    <xf numFmtId="0" fontId="24" fillId="0" borderId="3" xfId="0" applyFont="1" applyBorder="1" applyAlignment="1">
      <alignment horizontal="right" vertical="top" wrapText="1"/>
    </xf>
    <xf numFmtId="0" fontId="24" fillId="0" borderId="3" xfId="0" applyFont="1" applyBorder="1" applyAlignment="1">
      <alignment vertical="top" wrapText="1"/>
    </xf>
    <xf numFmtId="3" fontId="40" fillId="0" borderId="3" xfId="4" applyNumberFormat="1" applyFont="1" applyBorder="1" applyAlignment="1">
      <alignment horizontal="right" vertical="top"/>
    </xf>
    <xf numFmtId="3" fontId="39" fillId="0" borderId="3" xfId="0" applyNumberFormat="1" applyFont="1" applyBorder="1" applyAlignment="1">
      <alignment horizontal="right" vertical="top" wrapText="1"/>
    </xf>
    <xf numFmtId="3" fontId="40" fillId="0" borderId="3" xfId="0" applyNumberFormat="1" applyFont="1" applyBorder="1" applyAlignment="1">
      <alignment horizontal="right" vertical="top" wrapText="1"/>
    </xf>
    <xf numFmtId="3" fontId="40" fillId="4" borderId="3" xfId="0" applyNumberFormat="1" applyFont="1" applyFill="1" applyBorder="1" applyAlignment="1">
      <alignment horizontal="right" vertical="top"/>
    </xf>
    <xf numFmtId="3" fontId="39" fillId="0" borderId="3" xfId="4" applyNumberFormat="1" applyFont="1" applyBorder="1" applyAlignment="1">
      <alignment horizontal="right" vertical="top"/>
    </xf>
    <xf numFmtId="3" fontId="39" fillId="0" borderId="3" xfId="4" applyNumberFormat="1" applyFont="1" applyBorder="1" applyAlignment="1">
      <alignment horizontal="right" vertical="top" wrapText="1"/>
    </xf>
    <xf numFmtId="3" fontId="39" fillId="4" borderId="3" xfId="4" applyNumberFormat="1" applyFont="1" applyFill="1" applyBorder="1" applyAlignment="1">
      <alignment horizontal="right" vertical="top" wrapText="1"/>
    </xf>
    <xf numFmtId="3" fontId="40" fillId="4" borderId="3" xfId="4" applyNumberFormat="1" applyFont="1" applyFill="1" applyBorder="1" applyAlignment="1">
      <alignment horizontal="right" vertical="top" wrapText="1"/>
    </xf>
    <xf numFmtId="3" fontId="39" fillId="2" borderId="3" xfId="4" applyNumberFormat="1" applyFont="1" applyFill="1" applyBorder="1" applyAlignment="1" applyProtection="1">
      <alignment horizontal="right" vertical="top" wrapText="1"/>
      <protection locked="0"/>
    </xf>
    <xf numFmtId="3" fontId="14" fillId="0" borderId="0" xfId="0" applyNumberFormat="1" applyFont="1" applyAlignment="1">
      <alignment vertical="top"/>
    </xf>
    <xf numFmtId="3" fontId="24" fillId="2" borderId="3" xfId="0" applyNumberFormat="1" applyFont="1" applyFill="1" applyBorder="1" applyAlignment="1" applyProtection="1">
      <alignment horizontal="right" vertical="top"/>
      <protection locked="0"/>
    </xf>
    <xf numFmtId="4" fontId="40" fillId="0" borderId="3" xfId="0" applyNumberFormat="1" applyFont="1" applyBorder="1" applyAlignment="1">
      <alignment horizontal="center" vertical="center"/>
    </xf>
    <xf numFmtId="4" fontId="30" fillId="4" borderId="3" xfId="0" applyNumberFormat="1" applyFont="1" applyFill="1" applyBorder="1" applyAlignment="1">
      <alignment horizontal="right" vertical="top"/>
    </xf>
    <xf numFmtId="4" fontId="29" fillId="4" borderId="3" xfId="0" applyNumberFormat="1" applyFont="1" applyFill="1" applyBorder="1" applyAlignment="1">
      <alignment horizontal="right" vertical="top"/>
    </xf>
    <xf numFmtId="4" fontId="29" fillId="4" borderId="3" xfId="0" applyNumberFormat="1" applyFont="1" applyFill="1" applyBorder="1" applyAlignment="1">
      <alignment vertical="top"/>
    </xf>
    <xf numFmtId="0" fontId="36" fillId="0" borderId="3" xfId="1" applyFont="1" applyBorder="1" applyAlignment="1" applyProtection="1">
      <alignment horizontal="right" vertical="top" wrapText="1"/>
      <protection locked="0"/>
    </xf>
    <xf numFmtId="0" fontId="27" fillId="0" borderId="0" xfId="0" applyFont="1" applyAlignment="1">
      <alignment horizontal="center" vertical="top"/>
    </xf>
    <xf numFmtId="3" fontId="29" fillId="0" borderId="3" xfId="0" applyNumberFormat="1" applyFont="1" applyBorder="1" applyAlignment="1">
      <alignment horizontal="left" vertical="top"/>
    </xf>
    <xf numFmtId="3" fontId="29" fillId="0" borderId="3" xfId="0" applyNumberFormat="1" applyFont="1" applyBorder="1" applyAlignment="1">
      <alignment horizontal="left" vertical="top" wrapText="1"/>
    </xf>
    <xf numFmtId="4" fontId="30" fillId="0" borderId="3" xfId="0" applyNumberFormat="1" applyFont="1" applyBorder="1" applyAlignment="1">
      <alignment horizontal="right" vertical="top"/>
    </xf>
    <xf numFmtId="49" fontId="36" fillId="0" borderId="3" xfId="0" applyNumberFormat="1" applyFont="1" applyBorder="1" applyAlignment="1">
      <alignment horizontal="left" vertical="top"/>
    </xf>
    <xf numFmtId="0" fontId="36" fillId="0" borderId="3" xfId="0" applyFont="1" applyBorder="1" applyAlignment="1">
      <alignment horizontal="right" vertical="top" wrapText="1"/>
    </xf>
    <xf numFmtId="3" fontId="23" fillId="0" borderId="0" xfId="0" applyNumberFormat="1" applyFont="1" applyAlignment="1">
      <alignment horizontal="center" vertical="top"/>
    </xf>
    <xf numFmtId="0" fontId="27" fillId="0" borderId="0" xfId="0" applyFont="1" applyAlignment="1">
      <alignment vertical="top" wrapText="1"/>
    </xf>
    <xf numFmtId="3" fontId="12" fillId="0" borderId="0" xfId="0" applyNumberFormat="1" applyFont="1" applyAlignment="1">
      <alignment horizontal="center" vertical="top"/>
    </xf>
    <xf numFmtId="0" fontId="36" fillId="0" borderId="0" xfId="0" applyFont="1" applyAlignment="1">
      <alignment vertical="top" wrapText="1"/>
    </xf>
    <xf numFmtId="4" fontId="30" fillId="0" borderId="3" xfId="0" applyNumberFormat="1" applyFont="1" applyBorder="1" applyAlignment="1">
      <alignment horizontal="center" vertical="center"/>
    </xf>
    <xf numFmtId="0" fontId="12" fillId="0" borderId="0" xfId="0" applyFont="1" applyAlignment="1">
      <alignment horizontal="center" vertical="top"/>
    </xf>
    <xf numFmtId="4" fontId="36" fillId="0" borderId="3" xfId="0" applyNumberFormat="1" applyFont="1" applyBorder="1" applyAlignment="1">
      <alignment horizontal="right" vertical="top"/>
    </xf>
    <xf numFmtId="0" fontId="36" fillId="0" borderId="0" xfId="0" applyFont="1" applyAlignment="1">
      <alignment horizontal="center" vertical="top"/>
    </xf>
    <xf numFmtId="0" fontId="9" fillId="0" borderId="0" xfId="0" applyFont="1" applyAlignment="1">
      <alignment horizontal="center" vertical="top"/>
    </xf>
    <xf numFmtId="0" fontId="36" fillId="0" borderId="0" xfId="0" applyFont="1" applyAlignment="1">
      <alignment horizontal="left" vertical="top"/>
    </xf>
    <xf numFmtId="0" fontId="36" fillId="0" borderId="0" xfId="0" applyFont="1" applyAlignment="1">
      <alignment horizontal="right" vertical="top" wrapText="1"/>
    </xf>
    <xf numFmtId="0" fontId="30" fillId="0" borderId="0" xfId="0" applyFont="1" applyAlignment="1">
      <alignment horizontal="left" vertical="top" wrapText="1"/>
    </xf>
    <xf numFmtId="4" fontId="36" fillId="0" borderId="3" xfId="0" applyNumberFormat="1" applyFont="1" applyBorder="1" applyAlignment="1">
      <alignment horizontal="center" vertical="top"/>
    </xf>
    <xf numFmtId="0" fontId="11" fillId="0" borderId="0" xfId="0" applyFont="1" applyAlignment="1">
      <alignment horizontal="center" vertical="top"/>
    </xf>
    <xf numFmtId="0" fontId="29" fillId="0" borderId="0" xfId="0" applyFont="1" applyAlignment="1">
      <alignment horizontal="left" vertical="top"/>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3" fontId="24" fillId="0" borderId="0" xfId="0" applyNumberFormat="1" applyFont="1" applyAlignment="1">
      <alignment vertical="top"/>
    </xf>
    <xf numFmtId="3" fontId="39" fillId="0" borderId="0" xfId="0" applyNumberFormat="1" applyFont="1" applyAlignment="1">
      <alignment vertical="top"/>
    </xf>
    <xf numFmtId="0" fontId="40" fillId="0" borderId="13" xfId="0" applyFont="1" applyBorder="1" applyAlignment="1">
      <alignment horizontal="right" vertical="top" wrapText="1"/>
    </xf>
    <xf numFmtId="9" fontId="40" fillId="0" borderId="12" xfId="0" applyNumberFormat="1" applyFont="1" applyBorder="1" applyAlignment="1">
      <alignment horizontal="center" vertical="top"/>
    </xf>
    <xf numFmtId="3" fontId="39" fillId="0" borderId="3" xfId="0" applyNumberFormat="1" applyFont="1" applyBorder="1" applyAlignment="1">
      <alignment horizontal="left" vertical="top" wrapText="1"/>
    </xf>
    <xf numFmtId="3" fontId="27" fillId="0" borderId="0" xfId="0" applyNumberFormat="1" applyFont="1" applyAlignment="1">
      <alignment horizontal="center" vertical="top"/>
    </xf>
    <xf numFmtId="3" fontId="10" fillId="0" borderId="0" xfId="0" applyNumberFormat="1" applyFont="1" applyAlignment="1">
      <alignment horizontal="center" vertical="top"/>
    </xf>
    <xf numFmtId="3" fontId="24" fillId="0" borderId="3" xfId="0" applyNumberFormat="1" applyFont="1" applyBorder="1" applyAlignment="1">
      <alignment horizontal="right" vertical="top"/>
    </xf>
    <xf numFmtId="3" fontId="40" fillId="0" borderId="3" xfId="0" applyNumberFormat="1" applyFont="1" applyBorder="1" applyAlignment="1">
      <alignment horizontal="left" vertical="top" wrapText="1"/>
    </xf>
    <xf numFmtId="3" fontId="38" fillId="0" borderId="3" xfId="0" applyNumberFormat="1" applyFont="1" applyBorder="1" applyAlignment="1">
      <alignment horizontal="right" vertical="top"/>
    </xf>
    <xf numFmtId="3" fontId="36" fillId="0" borderId="0" xfId="0" applyNumberFormat="1" applyFont="1" applyAlignment="1">
      <alignment horizontal="center" vertical="top"/>
    </xf>
    <xf numFmtId="3" fontId="11" fillId="0" borderId="0" xfId="0" applyNumberFormat="1" applyFont="1" applyAlignment="1">
      <alignment horizontal="center" vertical="top"/>
    </xf>
    <xf numFmtId="3" fontId="30" fillId="0" borderId="0" xfId="0" applyNumberFormat="1" applyFont="1" applyAlignment="1">
      <alignment horizontal="center" vertical="top"/>
    </xf>
    <xf numFmtId="3" fontId="22" fillId="0" borderId="0" xfId="0" applyNumberFormat="1" applyFont="1" applyAlignment="1">
      <alignment horizontal="center" vertical="top"/>
    </xf>
    <xf numFmtId="3" fontId="38" fillId="0" borderId="3" xfId="0" applyNumberFormat="1" applyFont="1" applyBorder="1" applyAlignment="1">
      <alignment horizontal="left" vertical="top" wrapText="1"/>
    </xf>
    <xf numFmtId="3" fontId="40" fillId="0" borderId="11" xfId="0" applyNumberFormat="1" applyFont="1" applyBorder="1" applyAlignment="1">
      <alignment horizontal="right" vertical="top"/>
    </xf>
    <xf numFmtId="3" fontId="38" fillId="0" borderId="0" xfId="0" applyNumberFormat="1" applyFont="1" applyAlignment="1">
      <alignment horizontal="right" vertical="top"/>
    </xf>
    <xf numFmtId="3" fontId="13" fillId="0" borderId="0" xfId="0" applyNumberFormat="1" applyFont="1" applyAlignment="1">
      <alignment horizontal="center" vertical="top"/>
    </xf>
    <xf numFmtId="10" fontId="40" fillId="0" borderId="3" xfId="0" applyNumberFormat="1" applyFont="1" applyBorder="1" applyAlignment="1">
      <alignment horizontal="right" vertical="top" wrapText="1"/>
    </xf>
    <xf numFmtId="3" fontId="41" fillId="0" borderId="0" xfId="0" applyNumberFormat="1" applyFont="1" applyAlignment="1">
      <alignment horizontal="left" vertical="top" wrapText="1"/>
    </xf>
    <xf numFmtId="3" fontId="40" fillId="0" borderId="0" xfId="0" applyNumberFormat="1" applyFont="1" applyAlignment="1">
      <alignment horizontal="center" vertical="top"/>
    </xf>
    <xf numFmtId="0" fontId="6" fillId="0" borderId="0" xfId="0" applyFont="1" applyAlignment="1">
      <alignment vertical="top"/>
    </xf>
    <xf numFmtId="0" fontId="39" fillId="0" borderId="0" xfId="0" applyFont="1" applyAlignment="1">
      <alignment horizontal="right" vertical="top" wrapText="1"/>
    </xf>
    <xf numFmtId="3" fontId="39" fillId="4" borderId="3" xfId="0" applyNumberFormat="1" applyFont="1" applyFill="1" applyBorder="1" applyAlignment="1">
      <alignment horizontal="right" vertical="top"/>
    </xf>
    <xf numFmtId="4" fontId="39" fillId="4" borderId="3" xfId="0" applyNumberFormat="1" applyFont="1" applyFill="1" applyBorder="1" applyAlignment="1">
      <alignment vertical="top" wrapText="1"/>
    </xf>
    <xf numFmtId="2" fontId="29" fillId="0" borderId="0" xfId="0" applyNumberFormat="1" applyFont="1" applyAlignment="1">
      <alignment vertical="top"/>
    </xf>
    <xf numFmtId="4" fontId="29" fillId="0" borderId="0" xfId="0" applyNumberFormat="1" applyFont="1" applyAlignment="1">
      <alignment horizontal="center" vertical="top"/>
    </xf>
    <xf numFmtId="10" fontId="0" fillId="0" borderId="0" xfId="0" applyNumberFormat="1" applyAlignment="1">
      <alignment vertical="top"/>
    </xf>
    <xf numFmtId="0" fontId="29" fillId="7" borderId="3" xfId="0" applyFont="1" applyFill="1" applyBorder="1" applyAlignment="1">
      <alignment vertical="top" wrapText="1"/>
    </xf>
    <xf numFmtId="2" fontId="29" fillId="7" borderId="3" xfId="0" applyNumberFormat="1" applyFont="1" applyFill="1" applyBorder="1" applyAlignment="1">
      <alignment vertical="top"/>
    </xf>
    <xf numFmtId="0" fontId="30" fillId="7" borderId="3" xfId="0" applyFont="1" applyFill="1" applyBorder="1" applyAlignment="1">
      <alignment vertical="top" wrapText="1"/>
    </xf>
    <xf numFmtId="9" fontId="29" fillId="7" borderId="3" xfId="0" applyNumberFormat="1" applyFont="1" applyFill="1" applyBorder="1" applyAlignment="1">
      <alignment vertical="top"/>
    </xf>
    <xf numFmtId="10" fontId="14" fillId="0" borderId="0" xfId="0" applyNumberFormat="1" applyFont="1" applyAlignment="1">
      <alignment vertical="top"/>
    </xf>
    <xf numFmtId="4" fontId="39" fillId="0" borderId="0" xfId="0" applyNumberFormat="1" applyFont="1" applyAlignment="1">
      <alignment horizontal="left" vertical="top" wrapText="1"/>
    </xf>
    <xf numFmtId="3" fontId="4" fillId="0" borderId="0" xfId="0" applyNumberFormat="1" applyFont="1" applyAlignment="1">
      <alignment horizontal="center"/>
    </xf>
    <xf numFmtId="0" fontId="30" fillId="2" borderId="3" xfId="0" applyFont="1" applyFill="1" applyBorder="1" applyAlignment="1" applyProtection="1">
      <alignment horizontal="center" vertical="top"/>
      <protection locked="0"/>
    </xf>
    <xf numFmtId="0" fontId="30" fillId="0" borderId="3" xfId="0" applyFont="1" applyBorder="1" applyAlignment="1">
      <alignment horizontal="center" vertical="top"/>
    </xf>
    <xf numFmtId="0" fontId="40" fillId="0" borderId="3" xfId="0" applyFont="1" applyBorder="1" applyAlignment="1">
      <alignment vertical="top" wrapText="1"/>
    </xf>
    <xf numFmtId="0" fontId="30" fillId="0" borderId="3" xfId="0" applyFont="1" applyBorder="1" applyAlignment="1">
      <alignment horizontal="center" vertical="top" wrapText="1"/>
    </xf>
    <xf numFmtId="0" fontId="39" fillId="0" borderId="0" xfId="0" applyFont="1" applyAlignment="1">
      <alignment vertical="top"/>
    </xf>
    <xf numFmtId="0" fontId="29" fillId="0" borderId="0" xfId="0" applyFont="1" applyAlignment="1">
      <alignment vertical="top"/>
    </xf>
    <xf numFmtId="0" fontId="3" fillId="0" borderId="0" xfId="0" applyFont="1" applyAlignment="1">
      <alignment vertical="top"/>
    </xf>
    <xf numFmtId="0" fontId="30" fillId="0" borderId="3" xfId="0" applyFont="1" applyBorder="1" applyAlignment="1">
      <alignment vertical="top" wrapText="1"/>
    </xf>
    <xf numFmtId="4" fontId="36" fillId="0" borderId="3" xfId="1" applyNumberFormat="1" applyFont="1" applyBorder="1" applyAlignment="1">
      <alignment horizontal="right" vertical="top"/>
    </xf>
    <xf numFmtId="4" fontId="27" fillId="0" borderId="3" xfId="1" applyNumberFormat="1" applyFont="1" applyBorder="1" applyAlignment="1">
      <alignment horizontal="right" vertical="top"/>
    </xf>
    <xf numFmtId="4" fontId="43" fillId="0" borderId="3" xfId="0" applyNumberFormat="1" applyFont="1" applyBorder="1" applyAlignment="1">
      <alignment horizontal="right" vertical="top"/>
    </xf>
    <xf numFmtId="49" fontId="39" fillId="0" borderId="0" xfId="0" applyNumberFormat="1" applyFont="1" applyAlignment="1">
      <alignment horizontal="center" vertical="top"/>
    </xf>
    <xf numFmtId="0" fontId="39" fillId="4" borderId="5" xfId="0" applyFont="1" applyFill="1" applyBorder="1" applyAlignment="1">
      <alignment vertical="top"/>
    </xf>
    <xf numFmtId="0" fontId="0" fillId="4" borderId="0" xfId="0" applyFill="1"/>
    <xf numFmtId="4" fontId="0" fillId="0" borderId="8" xfId="0" applyNumberFormat="1" applyBorder="1" applyAlignment="1">
      <alignment horizontal="right" vertical="top"/>
    </xf>
    <xf numFmtId="4" fontId="25" fillId="0" borderId="8" xfId="0" applyNumberFormat="1" applyFont="1" applyBorder="1" applyAlignment="1">
      <alignment horizontal="right" vertical="top"/>
    </xf>
    <xf numFmtId="0" fontId="40" fillId="9" borderId="3" xfId="0" applyFont="1" applyFill="1" applyBorder="1" applyAlignment="1">
      <alignment vertical="top" wrapText="1"/>
    </xf>
    <xf numFmtId="0" fontId="40" fillId="2" borderId="3" xfId="0" applyFont="1" applyFill="1" applyBorder="1" applyAlignment="1" applyProtection="1">
      <alignment horizontal="center" vertical="center"/>
      <protection locked="0"/>
    </xf>
    <xf numFmtId="4" fontId="44" fillId="6" borderId="3" xfId="0" applyNumberFormat="1" applyFont="1" applyFill="1" applyBorder="1" applyAlignment="1" applyProtection="1">
      <alignment horizontal="right" vertical="top"/>
      <protection locked="0"/>
    </xf>
    <xf numFmtId="3" fontId="39" fillId="2" borderId="3" xfId="4" applyNumberFormat="1" applyFont="1" applyFill="1" applyBorder="1" applyAlignment="1" applyProtection="1">
      <alignment horizontal="right" vertical="top"/>
      <protection locked="0"/>
    </xf>
    <xf numFmtId="10" fontId="40" fillId="0" borderId="0" xfId="0" applyNumberFormat="1" applyFont="1" applyAlignment="1">
      <alignment horizontal="right" vertical="top"/>
    </xf>
    <xf numFmtId="4" fontId="30" fillId="4" borderId="3" xfId="0" applyNumberFormat="1" applyFont="1" applyFill="1" applyBorder="1" applyAlignment="1">
      <alignment horizontal="center" vertical="center"/>
    </xf>
    <xf numFmtId="4" fontId="30" fillId="0" borderId="3" xfId="0" applyNumberFormat="1" applyFont="1" applyBorder="1" applyAlignment="1">
      <alignment vertical="center" wrapText="1"/>
    </xf>
    <xf numFmtId="4" fontId="30" fillId="0" borderId="4" xfId="0" applyNumberFormat="1" applyFont="1" applyBorder="1" applyAlignment="1">
      <alignment vertical="center"/>
    </xf>
    <xf numFmtId="3" fontId="40" fillId="0" borderId="3" xfId="0" applyNumberFormat="1" applyFont="1" applyBorder="1" applyAlignment="1">
      <alignment horizontal="center" vertical="center" wrapText="1"/>
    </xf>
    <xf numFmtId="4" fontId="40" fillId="0" borderId="7" xfId="0" applyNumberFormat="1" applyFont="1" applyBorder="1" applyAlignment="1">
      <alignment vertical="top"/>
    </xf>
    <xf numFmtId="0" fontId="38" fillId="0" borderId="3" xfId="0" applyFont="1" applyBorder="1" applyAlignment="1">
      <alignment vertical="top"/>
    </xf>
    <xf numFmtId="3" fontId="40" fillId="0" borderId="7" xfId="4" applyNumberFormat="1" applyFont="1" applyBorder="1" applyAlignment="1">
      <alignment horizontal="center" vertical="center" wrapText="1"/>
    </xf>
    <xf numFmtId="1" fontId="30" fillId="0" borderId="3" xfId="0" applyNumberFormat="1" applyFont="1" applyBorder="1" applyAlignment="1">
      <alignment horizontal="center" vertical="top"/>
    </xf>
    <xf numFmtId="0" fontId="45" fillId="2" borderId="3" xfId="0" applyFont="1" applyFill="1" applyBorder="1"/>
    <xf numFmtId="0" fontId="45" fillId="0" borderId="15" xfId="0" applyFont="1" applyBorder="1" applyAlignment="1">
      <alignment horizontal="right" vertical="center" wrapText="1"/>
    </xf>
    <xf numFmtId="0" fontId="45" fillId="0" borderId="16" xfId="0" applyFont="1" applyBorder="1" applyAlignment="1">
      <alignment horizontal="right" vertical="center" wrapText="1"/>
    </xf>
    <xf numFmtId="3" fontId="29" fillId="0" borderId="4" xfId="0" applyNumberFormat="1" applyFont="1" applyBorder="1" applyAlignment="1">
      <alignment vertical="top" wrapText="1"/>
    </xf>
    <xf numFmtId="4" fontId="29" fillId="2" borderId="5" xfId="0" applyNumberFormat="1" applyFont="1" applyFill="1" applyBorder="1" applyAlignment="1" applyProtection="1">
      <alignment horizontal="right" vertical="top"/>
      <protection locked="0"/>
    </xf>
    <xf numFmtId="4" fontId="29" fillId="2" borderId="10" xfId="0" applyNumberFormat="1" applyFont="1" applyFill="1" applyBorder="1" applyAlignment="1" applyProtection="1">
      <alignment horizontal="right" vertical="top"/>
      <protection locked="0"/>
    </xf>
    <xf numFmtId="4" fontId="30" fillId="0" borderId="7" xfId="0" applyNumberFormat="1" applyFont="1" applyBorder="1" applyAlignment="1">
      <alignment horizontal="right" vertical="top"/>
    </xf>
    <xf numFmtId="0" fontId="45" fillId="2" borderId="3" xfId="0" applyFont="1" applyFill="1" applyBorder="1" applyAlignment="1">
      <alignment horizontal="right" vertical="center" wrapText="1"/>
    </xf>
    <xf numFmtId="0" fontId="45" fillId="0" borderId="17" xfId="0" applyFont="1" applyBorder="1" applyAlignment="1">
      <alignment horizontal="right" vertical="center" wrapText="1"/>
    </xf>
    <xf numFmtId="0" fontId="45" fillId="0" borderId="18" xfId="0" applyFont="1" applyBorder="1" applyAlignment="1">
      <alignment horizontal="right" vertical="center" wrapText="1"/>
    </xf>
    <xf numFmtId="0" fontId="46" fillId="0" borderId="17" xfId="0" applyFont="1" applyBorder="1" applyAlignment="1">
      <alignment vertical="center" wrapText="1"/>
    </xf>
    <xf numFmtId="3" fontId="27" fillId="0" borderId="4" xfId="0" applyNumberFormat="1" applyFont="1" applyBorder="1" applyAlignment="1">
      <alignment vertical="top" wrapText="1"/>
    </xf>
    <xf numFmtId="4" fontId="29" fillId="0" borderId="10" xfId="0" applyNumberFormat="1" applyFont="1" applyBorder="1" applyAlignment="1">
      <alignment horizontal="right" vertical="top"/>
    </xf>
    <xf numFmtId="4" fontId="29" fillId="2" borderId="7" xfId="0" applyNumberFormat="1" applyFont="1" applyFill="1" applyBorder="1" applyAlignment="1" applyProtection="1">
      <alignment horizontal="right" vertical="top"/>
      <protection locked="0"/>
    </xf>
    <xf numFmtId="4" fontId="29" fillId="2" borderId="4" xfId="0" applyNumberFormat="1" applyFont="1" applyFill="1" applyBorder="1" applyAlignment="1" applyProtection="1">
      <alignment vertical="top"/>
      <protection locked="0"/>
    </xf>
    <xf numFmtId="0" fontId="45" fillId="2" borderId="4" xfId="0" applyFont="1" applyFill="1" applyBorder="1"/>
    <xf numFmtId="4" fontId="29" fillId="2" borderId="5" xfId="0" applyNumberFormat="1" applyFont="1" applyFill="1" applyBorder="1" applyAlignment="1" applyProtection="1">
      <alignment vertical="top"/>
      <protection locked="0"/>
    </xf>
    <xf numFmtId="4" fontId="30" fillId="0" borderId="10" xfId="0" applyNumberFormat="1" applyFont="1" applyBorder="1" applyAlignment="1">
      <alignment vertical="top"/>
    </xf>
    <xf numFmtId="4" fontId="29" fillId="2" borderId="7" xfId="0" applyNumberFormat="1" applyFont="1" applyFill="1" applyBorder="1" applyAlignment="1" applyProtection="1">
      <alignment vertical="top"/>
      <protection locked="0"/>
    </xf>
    <xf numFmtId="0" fontId="35" fillId="0" borderId="4" xfId="0" applyFont="1" applyBorder="1" applyAlignment="1">
      <alignment vertical="top" wrapText="1"/>
    </xf>
    <xf numFmtId="4" fontId="29" fillId="2" borderId="10" xfId="0" applyNumberFormat="1" applyFont="1" applyFill="1" applyBorder="1" applyAlignment="1" applyProtection="1">
      <alignment vertical="top"/>
      <protection locked="0"/>
    </xf>
    <xf numFmtId="10" fontId="29" fillId="0" borderId="0" xfId="0" applyNumberFormat="1" applyFont="1" applyAlignment="1">
      <alignment vertical="top"/>
    </xf>
    <xf numFmtId="0" fontId="27" fillId="0" borderId="0" xfId="0" applyFont="1" applyAlignment="1">
      <alignment horizontal="left" vertical="top"/>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0" fontId="0" fillId="0" borderId="0" xfId="0" applyAlignment="1">
      <alignment vertical="top"/>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xf>
    <xf numFmtId="0" fontId="36" fillId="0" borderId="0" xfId="1" applyFont="1" applyAlignment="1">
      <alignment horizontal="left" vertical="top"/>
    </xf>
    <xf numFmtId="0" fontId="10" fillId="0" borderId="0" xfId="0" applyFont="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4" fontId="40" fillId="0" borderId="3" xfId="0" applyNumberFormat="1" applyFont="1" applyBorder="1" applyAlignment="1">
      <alignment horizontal="left" vertical="top" wrapText="1"/>
    </xf>
    <xf numFmtId="3" fontId="38" fillId="0" borderId="3" xfId="0" applyNumberFormat="1" applyFont="1" applyBorder="1" applyAlignment="1">
      <alignment horizontal="center" vertical="center" wrapText="1"/>
    </xf>
    <xf numFmtId="4" fontId="5" fillId="0" borderId="0" xfId="0" applyNumberFormat="1" applyFont="1" applyAlignment="1">
      <alignment vertical="top"/>
    </xf>
    <xf numFmtId="3" fontId="40" fillId="0" borderId="3" xfId="0" applyNumberFormat="1" applyFont="1" applyBorder="1" applyAlignment="1">
      <alignment horizontal="center" vertical="center"/>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0" fontId="38" fillId="0" borderId="3" xfId="0" applyFont="1" applyBorder="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0" borderId="0" xfId="0" applyFont="1" applyAlignment="1">
      <alignment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27" fillId="0" borderId="0" xfId="0" applyFont="1" applyAlignment="1">
      <alignment horizontal="left" vertical="top" wrapText="1"/>
    </xf>
    <xf numFmtId="0" fontId="27" fillId="0" borderId="0" xfId="0" applyFont="1" applyAlignment="1">
      <alignment vertical="top"/>
    </xf>
    <xf numFmtId="0" fontId="18" fillId="0" borderId="0" xfId="0" applyFont="1" applyAlignment="1">
      <alignment vertical="top"/>
    </xf>
    <xf numFmtId="0" fontId="34" fillId="0" borderId="0" xfId="0" applyFont="1" applyAlignment="1">
      <alignment horizontal="left" vertical="top" wrapText="1"/>
    </xf>
    <xf numFmtId="3" fontId="39" fillId="0" borderId="0" xfId="0" applyNumberFormat="1" applyFont="1" applyAlignment="1">
      <alignment vertical="top" wrapText="1"/>
    </xf>
    <xf numFmtId="0" fontId="37" fillId="0" borderId="0" xfId="0" applyFont="1" applyAlignment="1">
      <alignment horizontal="left" vertical="top"/>
    </xf>
    <xf numFmtId="0" fontId="19" fillId="0" borderId="0" xfId="0" applyFont="1" applyAlignment="1">
      <alignment vertical="top"/>
    </xf>
    <xf numFmtId="0" fontId="29" fillId="0" borderId="0" xfId="0" applyFont="1" applyAlignment="1">
      <alignment horizontal="left" vertical="top" wrapText="1"/>
    </xf>
    <xf numFmtId="0" fontId="30"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xf>
    <xf numFmtId="0" fontId="25" fillId="2" borderId="8" xfId="0" applyFont="1" applyFill="1" applyBorder="1" applyAlignment="1">
      <alignment horizontal="left" vertical="top" wrapText="1"/>
    </xf>
    <xf numFmtId="0" fontId="0" fillId="0" borderId="8" xfId="0" applyBorder="1"/>
    <xf numFmtId="0" fontId="25" fillId="0" borderId="2" xfId="0" applyFont="1" applyBorder="1" applyAlignment="1">
      <alignment horizontal="left" vertical="top" wrapText="1"/>
    </xf>
    <xf numFmtId="0" fontId="0" fillId="0" borderId="2" xfId="0" applyBorder="1"/>
    <xf numFmtId="0" fontId="0" fillId="0" borderId="12" xfId="0" applyBorder="1" applyAlignment="1">
      <alignment horizontal="left" vertical="top" wrapText="1"/>
    </xf>
    <xf numFmtId="0" fontId="0" fillId="0" borderId="11" xfId="0" applyBorder="1"/>
    <xf numFmtId="0" fontId="0" fillId="0" borderId="12" xfId="0" applyBorder="1"/>
    <xf numFmtId="4" fontId="0" fillId="0" borderId="0" xfId="0" applyNumberFormat="1" applyAlignment="1">
      <alignment horizontal="left" vertical="top" wrapText="1"/>
    </xf>
    <xf numFmtId="4" fontId="25" fillId="0" borderId="0" xfId="0" applyNumberFormat="1" applyFont="1" applyAlignment="1">
      <alignment horizontal="left" vertical="top" wrapText="1"/>
    </xf>
    <xf numFmtId="4" fontId="0" fillId="0" borderId="12" xfId="0" applyNumberFormat="1" applyBorder="1" applyAlignment="1">
      <alignment horizontal="left" vertical="top" wrapText="1"/>
    </xf>
    <xf numFmtId="4" fontId="25" fillId="0" borderId="8" xfId="0" applyNumberFormat="1" applyFont="1" applyBorder="1" applyAlignment="1">
      <alignment horizontal="left" vertical="top" wrapText="1"/>
    </xf>
    <xf numFmtId="4" fontId="25" fillId="0" borderId="0" xfId="0" applyNumberFormat="1" applyFont="1" applyAlignment="1">
      <alignment horizontal="left" vertical="top"/>
    </xf>
    <xf numFmtId="4" fontId="0" fillId="0" borderId="0" xfId="0" applyNumberFormat="1" applyAlignment="1">
      <alignment horizontal="left" vertical="top"/>
    </xf>
    <xf numFmtId="0" fontId="25" fillId="0" borderId="5" xfId="0" applyFont="1" applyBorder="1" applyAlignment="1">
      <alignment horizontal="left" vertical="top" wrapText="1"/>
    </xf>
    <xf numFmtId="0" fontId="0" fillId="0" borderId="5" xfId="0" applyBorder="1"/>
    <xf numFmtId="0" fontId="25" fillId="0" borderId="0" xfId="0" applyFont="1" applyAlignment="1">
      <alignment horizontal="left" vertical="top"/>
    </xf>
    <xf numFmtId="0" fontId="0" fillId="0" borderId="8" xfId="0" applyBorder="1" applyAlignment="1">
      <alignment horizontal="left" vertical="top" wrapText="1"/>
    </xf>
    <xf numFmtId="0" fontId="30" fillId="0" borderId="8" xfId="0" applyFont="1" applyBorder="1" applyAlignment="1">
      <alignment horizontal="right" vertical="top" wrapText="1"/>
    </xf>
    <xf numFmtId="0" fontId="10" fillId="0" borderId="0" xfId="0" applyFont="1" applyAlignment="1">
      <alignment horizontal="center" vertical="top"/>
    </xf>
    <xf numFmtId="0" fontId="29" fillId="0" borderId="3" xfId="0" applyFont="1" applyBorder="1" applyAlignment="1">
      <alignment horizontal="right" vertical="top" wrapText="1"/>
    </xf>
    <xf numFmtId="0" fontId="30" fillId="0" borderId="0" xfId="0" applyFont="1" applyAlignment="1">
      <alignment horizontal="right" vertical="top" wrapText="1"/>
    </xf>
    <xf numFmtId="0" fontId="30" fillId="0" borderId="3" xfId="0" applyFont="1" applyBorder="1" applyAlignment="1">
      <alignment horizontal="right" vertical="top" wrapText="1"/>
    </xf>
    <xf numFmtId="0" fontId="32" fillId="0" borderId="3" xfId="0" applyFont="1" applyBorder="1" applyAlignment="1">
      <alignment horizontal="right" vertical="top" wrapText="1"/>
    </xf>
    <xf numFmtId="0" fontId="36" fillId="0" borderId="0" xfId="1" applyFont="1" applyAlignment="1">
      <alignment horizontal="left" vertical="top"/>
    </xf>
    <xf numFmtId="0" fontId="29" fillId="0" borderId="0" xfId="0" applyFont="1" applyAlignment="1">
      <alignment vertical="top" wrapText="1"/>
    </xf>
    <xf numFmtId="4" fontId="30" fillId="0" borderId="0" xfId="0" applyNumberFormat="1" applyFont="1" applyAlignment="1">
      <alignment horizontal="right" vertical="top"/>
    </xf>
    <xf numFmtId="4" fontId="30" fillId="0" borderId="0" xfId="0" applyNumberFormat="1" applyFont="1" applyAlignment="1">
      <alignment horizontal="center" vertical="top"/>
    </xf>
    <xf numFmtId="4" fontId="29" fillId="0" borderId="0" xfId="0" applyNumberFormat="1" applyFont="1" applyAlignment="1">
      <alignment horizontal="right" vertical="top"/>
    </xf>
    <xf numFmtId="4" fontId="30" fillId="0" borderId="3" xfId="0" applyNumberFormat="1" applyFont="1" applyBorder="1" applyAlignment="1">
      <alignment horizontal="left" vertical="center" wrapText="1"/>
    </xf>
    <xf numFmtId="0" fontId="0" fillId="0" borderId="7" xfId="0" applyBorder="1"/>
    <xf numFmtId="4" fontId="30" fillId="0" borderId="3" xfId="0" applyNumberFormat="1" applyFont="1" applyBorder="1" applyAlignment="1">
      <alignment horizontal="right" vertical="center" wrapText="1"/>
    </xf>
    <xf numFmtId="4" fontId="30" fillId="0" borderId="3" xfId="0" applyNumberFormat="1" applyFont="1" applyBorder="1" applyAlignment="1">
      <alignment horizontal="center" vertical="center" wrapText="1"/>
    </xf>
    <xf numFmtId="0" fontId="36" fillId="0" borderId="3" xfId="0" applyFont="1" applyBorder="1" applyAlignment="1">
      <alignment horizontal="left" vertical="center" wrapText="1"/>
    </xf>
    <xf numFmtId="0" fontId="0" fillId="0" borderId="14" xfId="0" applyBorder="1"/>
    <xf numFmtId="0" fontId="0" fillId="0" borderId="9" xfId="0" applyBorder="1"/>
    <xf numFmtId="0" fontId="36" fillId="0" borderId="3" xfId="0" applyFont="1" applyBorder="1" applyAlignment="1">
      <alignment horizontal="left" vertical="top" wrapText="1"/>
    </xf>
    <xf numFmtId="0" fontId="27" fillId="0" borderId="3" xfId="0" applyFont="1" applyBorder="1" applyAlignment="1">
      <alignment horizontal="left" vertical="top" wrapText="1"/>
    </xf>
    <xf numFmtId="0" fontId="43" fillId="0" borderId="3" xfId="0" applyFont="1" applyBorder="1" applyAlignment="1">
      <alignment horizontal="left" vertical="top" wrapText="1"/>
    </xf>
    <xf numFmtId="9" fontId="36" fillId="0" borderId="6" xfId="5" applyFont="1" applyBorder="1" applyAlignment="1">
      <alignment horizontal="center" vertical="top"/>
    </xf>
    <xf numFmtId="4" fontId="12" fillId="0" borderId="0" xfId="1" applyNumberFormat="1" applyFont="1" applyAlignment="1">
      <alignment horizontal="right" vertical="top"/>
    </xf>
    <xf numFmtId="4" fontId="21" fillId="0" borderId="0" xfId="1" applyNumberFormat="1" applyFont="1" applyAlignment="1">
      <alignment horizontal="right" vertical="top"/>
    </xf>
    <xf numFmtId="0" fontId="20" fillId="0" borderId="0" xfId="1" applyFont="1" applyAlignment="1">
      <alignment horizontal="left" vertical="top"/>
    </xf>
    <xf numFmtId="0" fontId="21" fillId="0" borderId="0" xfId="1" applyFont="1" applyAlignment="1">
      <alignment vertical="top" wrapText="1"/>
    </xf>
    <xf numFmtId="4" fontId="30" fillId="0" borderId="3" xfId="1" applyNumberFormat="1" applyFont="1" applyBorder="1" applyAlignment="1">
      <alignment horizontal="center" vertical="center" wrapText="1"/>
    </xf>
    <xf numFmtId="0" fontId="30" fillId="0" borderId="3" xfId="1" applyFont="1" applyBorder="1" applyAlignment="1">
      <alignment horizontal="center" vertical="center" wrapText="1"/>
    </xf>
    <xf numFmtId="49" fontId="30" fillId="0" borderId="3" xfId="1" applyNumberFormat="1" applyFont="1" applyBorder="1" applyAlignment="1">
      <alignment vertical="center"/>
    </xf>
    <xf numFmtId="4" fontId="40" fillId="0" borderId="3" xfId="0" applyNumberFormat="1" applyFont="1" applyBorder="1" applyAlignment="1">
      <alignment horizontal="left" vertical="center" wrapText="1"/>
    </xf>
    <xf numFmtId="4" fontId="40" fillId="0" borderId="3" xfId="0" applyNumberFormat="1" applyFont="1" applyBorder="1" applyAlignment="1">
      <alignment horizontal="left" vertical="top" wrapText="1"/>
    </xf>
    <xf numFmtId="4" fontId="40" fillId="0" borderId="3" xfId="0" applyNumberFormat="1" applyFont="1" applyBorder="1" applyAlignment="1">
      <alignment horizontal="left" vertical="top"/>
    </xf>
    <xf numFmtId="4" fontId="39" fillId="0" borderId="0" xfId="0" applyNumberFormat="1" applyFont="1" applyAlignment="1">
      <alignment vertical="top" wrapText="1"/>
    </xf>
    <xf numFmtId="3" fontId="40" fillId="0" borderId="0" xfId="0" applyNumberFormat="1" applyFont="1" applyAlignment="1">
      <alignment horizontal="right" vertical="top"/>
    </xf>
    <xf numFmtId="3" fontId="39" fillId="0" borderId="0" xfId="0" applyNumberFormat="1" applyFont="1" applyAlignment="1">
      <alignment horizontal="right" vertical="top"/>
    </xf>
    <xf numFmtId="4" fontId="39" fillId="0" borderId="3" xfId="0" applyNumberFormat="1" applyFont="1" applyBorder="1" applyAlignment="1">
      <alignment horizontal="left" vertical="top" wrapText="1"/>
    </xf>
    <xf numFmtId="4" fontId="24" fillId="0" borderId="0" xfId="0" applyNumberFormat="1" applyFont="1" applyAlignment="1">
      <alignment horizontal="left" vertical="top" wrapText="1"/>
    </xf>
    <xf numFmtId="4" fontId="24" fillId="0" borderId="3" xfId="0" applyNumberFormat="1" applyFont="1" applyBorder="1" applyAlignment="1">
      <alignment horizontal="center" vertical="center" wrapText="1"/>
    </xf>
    <xf numFmtId="0" fontId="24" fillId="0" borderId="3" xfId="4" applyFont="1" applyBorder="1" applyAlignment="1">
      <alignment horizontal="center" vertical="center" wrapText="1"/>
    </xf>
    <xf numFmtId="3" fontId="40" fillId="0" borderId="3" xfId="0" applyNumberFormat="1" applyFont="1" applyBorder="1" applyAlignment="1">
      <alignment horizontal="center" vertical="center"/>
    </xf>
    <xf numFmtId="3" fontId="38" fillId="0" borderId="3" xfId="0" applyNumberFormat="1" applyFont="1" applyBorder="1" applyAlignment="1">
      <alignment horizontal="center" vertical="center" wrapText="1"/>
    </xf>
    <xf numFmtId="4" fontId="40" fillId="8" borderId="1" xfId="0" applyNumberFormat="1" applyFont="1" applyFill="1" applyBorder="1" applyAlignment="1">
      <alignment horizontal="left" vertical="top"/>
    </xf>
    <xf numFmtId="0" fontId="0" fillId="0" borderId="1" xfId="0" applyBorder="1"/>
    <xf numFmtId="4" fontId="40" fillId="8" borderId="2" xfId="0" applyNumberFormat="1" applyFont="1" applyFill="1" applyBorder="1" applyAlignment="1">
      <alignment horizontal="left" vertical="top"/>
    </xf>
    <xf numFmtId="4" fontId="38" fillId="0" borderId="3" xfId="0" applyNumberFormat="1" applyFont="1" applyBorder="1" applyAlignment="1">
      <alignment horizontal="left" vertical="top"/>
    </xf>
    <xf numFmtId="4" fontId="40" fillId="8" borderId="1" xfId="0" applyNumberFormat="1" applyFont="1" applyFill="1" applyBorder="1" applyAlignment="1">
      <alignment horizontal="left" vertical="top" wrapText="1"/>
    </xf>
    <xf numFmtId="4" fontId="40" fillId="0" borderId="0" xfId="0" applyNumberFormat="1" applyFont="1" applyAlignment="1">
      <alignment horizontal="left" vertical="top"/>
    </xf>
    <xf numFmtId="4" fontId="5" fillId="0" borderId="0" xfId="0" applyNumberFormat="1" applyFont="1" applyAlignment="1">
      <alignment vertical="top"/>
    </xf>
    <xf numFmtId="0" fontId="38" fillId="0" borderId="3" xfId="0" applyFont="1" applyBorder="1" applyAlignment="1">
      <alignment horizontal="center" vertical="top"/>
    </xf>
    <xf numFmtId="3" fontId="39" fillId="0" borderId="0" xfId="0" applyNumberFormat="1" applyFont="1" applyAlignment="1">
      <alignment vertical="top"/>
    </xf>
    <xf numFmtId="3" fontId="39" fillId="0" borderId="0" xfId="0" applyNumberFormat="1" applyFont="1" applyAlignment="1">
      <alignment horizontal="center" vertical="top"/>
    </xf>
    <xf numFmtId="0" fontId="38" fillId="0" borderId="3" xfId="0" applyFont="1" applyBorder="1" applyAlignment="1">
      <alignment horizontal="center" vertical="center" wrapText="1"/>
    </xf>
    <xf numFmtId="0" fontId="39" fillId="0" borderId="0" xfId="0" applyFont="1" applyAlignment="1">
      <alignment horizontal="left" vertical="top" wrapText="1"/>
    </xf>
    <xf numFmtId="3" fontId="40" fillId="0" borderId="10" xfId="0" applyNumberFormat="1" applyFont="1" applyBorder="1" applyAlignment="1">
      <alignment horizontal="left" vertical="top"/>
    </xf>
    <xf numFmtId="0" fontId="24" fillId="0" borderId="0" xfId="0" applyFont="1" applyAlignment="1">
      <alignment horizontal="left" vertical="top" wrapText="1"/>
    </xf>
    <xf numFmtId="0" fontId="28" fillId="0" borderId="0" xfId="0" applyFont="1" applyAlignment="1">
      <alignment vertical="top"/>
    </xf>
    <xf numFmtId="3" fontId="38" fillId="0" borderId="3" xfId="0" applyNumberFormat="1" applyFont="1" applyBorder="1" applyAlignment="1">
      <alignment horizontal="center" vertical="top"/>
    </xf>
    <xf numFmtId="0" fontId="39" fillId="4" borderId="4" xfId="0" applyFont="1" applyFill="1" applyBorder="1" applyAlignment="1">
      <alignment horizontal="center" vertical="top" wrapText="1"/>
    </xf>
    <xf numFmtId="3" fontId="40" fillId="0" borderId="3" xfId="4" applyNumberFormat="1" applyFont="1" applyBorder="1" applyAlignment="1">
      <alignment horizontal="right" vertical="top" wrapText="1"/>
    </xf>
    <xf numFmtId="3" fontId="40" fillId="0" borderId="3" xfId="4" applyNumberFormat="1" applyFont="1" applyBorder="1" applyAlignment="1">
      <alignment horizontal="left" vertical="top" wrapText="1"/>
    </xf>
    <xf numFmtId="0" fontId="40" fillId="0" borderId="3" xfId="4" applyFont="1" applyBorder="1" applyAlignment="1">
      <alignment horizontal="left" vertical="top" wrapText="1"/>
    </xf>
    <xf numFmtId="0" fontId="39" fillId="0" borderId="0" xfId="0" applyFont="1" applyAlignment="1">
      <alignment vertical="top" wrapText="1"/>
    </xf>
    <xf numFmtId="0" fontId="40" fillId="0" borderId="1" xfId="0" applyFont="1" applyBorder="1" applyAlignment="1">
      <alignment horizontal="left" vertical="top" wrapText="1"/>
    </xf>
    <xf numFmtId="0" fontId="40" fillId="0" borderId="3" xfId="4" applyFont="1" applyBorder="1" applyAlignment="1">
      <alignment horizontal="center" vertical="center" wrapText="1"/>
    </xf>
    <xf numFmtId="4" fontId="40" fillId="0" borderId="3" xfId="0" applyNumberFormat="1" applyFont="1" applyBorder="1" applyAlignment="1">
      <alignment horizontal="right" vertical="top" wrapText="1"/>
    </xf>
    <xf numFmtId="3" fontId="40" fillId="0" borderId="3" xfId="4" applyNumberFormat="1" applyFont="1" applyBorder="1" applyAlignment="1">
      <alignment horizontal="center" vertical="center"/>
    </xf>
    <xf numFmtId="0" fontId="40" fillId="0" borderId="3" xfId="0" applyFont="1" applyBorder="1" applyAlignment="1">
      <alignment horizontal="left" vertical="top" wrapText="1"/>
    </xf>
    <xf numFmtId="0" fontId="40" fillId="0" borderId="0" xfId="0" applyFont="1" applyAlignment="1">
      <alignment horizontal="left" vertical="top"/>
    </xf>
  </cellXfs>
  <cellStyles count="6">
    <cellStyle name="Normal" xfId="0" builtinId="0"/>
    <cellStyle name="Normal 2" xfId="1" xr:uid="{00000000-0005-0000-0000-000001000000}"/>
    <cellStyle name="Normal 3" xfId="2" xr:uid="{00000000-0005-0000-0000-000002000000}"/>
    <cellStyle name="Normal 4" xfId="4" xr:uid="{00000000-0005-0000-0000-000004000000}"/>
    <cellStyle name="Percent" xfId="5" builtinId="5"/>
    <cellStyle name="Percent 2" xfId="3" xr:uid="{00000000-0005-0000-0000-000003000000}"/>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I94"/>
  <sheetViews>
    <sheetView topLeftCell="A71" workbookViewId="0">
      <selection activeCell="F91" sqref="F91"/>
    </sheetView>
  </sheetViews>
  <sheetFormatPr defaultColWidth="9.109375" defaultRowHeight="13.8" x14ac:dyDescent="0.3"/>
  <cols>
    <col min="1" max="1" width="59.109375" style="102" customWidth="1"/>
    <col min="2" max="4" width="12.88671875" style="190" customWidth="1"/>
    <col min="5" max="5" width="13.88671875" style="35" customWidth="1"/>
    <col min="6" max="8" width="9.109375" style="231" customWidth="1"/>
    <col min="9" max="9" width="10.5546875" style="231" bestFit="1" customWidth="1"/>
    <col min="10" max="11" width="9.109375" style="231" customWidth="1"/>
    <col min="12" max="16384" width="9.109375" style="231"/>
  </cols>
  <sheetData>
    <row r="1" spans="1:5" s="278" customFormat="1" ht="14.4" customHeight="1" x14ac:dyDescent="0.3">
      <c r="A1" s="280" t="s">
        <v>0</v>
      </c>
      <c r="B1" s="28"/>
      <c r="C1" s="28"/>
      <c r="D1" s="28"/>
      <c r="E1" s="29"/>
    </row>
    <row r="2" spans="1:5" s="278" customFormat="1" x14ac:dyDescent="0.3">
      <c r="A2" s="30"/>
      <c r="B2" s="28"/>
      <c r="C2" s="28"/>
      <c r="D2" s="28"/>
      <c r="E2" s="29"/>
    </row>
    <row r="3" spans="1:5" s="278" customFormat="1" ht="43.5" customHeight="1" x14ac:dyDescent="0.3">
      <c r="A3" s="310" t="s">
        <v>1</v>
      </c>
      <c r="B3" s="311"/>
      <c r="C3" s="311"/>
      <c r="D3" s="311"/>
      <c r="E3" s="29"/>
    </row>
    <row r="4" spans="1:5" s="278" customFormat="1" x14ac:dyDescent="0.3">
      <c r="A4" s="174"/>
      <c r="B4" s="174"/>
      <c r="C4" s="174"/>
      <c r="D4" s="174"/>
      <c r="E4" s="29"/>
    </row>
    <row r="5" spans="1:5" x14ac:dyDescent="0.3">
      <c r="A5" s="233"/>
      <c r="B5" s="226">
        <v>2018</v>
      </c>
      <c r="C5" s="226">
        <v>2019</v>
      </c>
      <c r="D5" s="226" t="s">
        <v>2</v>
      </c>
    </row>
    <row r="6" spans="1:5" s="48" customFormat="1" x14ac:dyDescent="0.3">
      <c r="A6" s="233" t="s">
        <v>3</v>
      </c>
      <c r="B6" s="104"/>
      <c r="C6" s="104"/>
      <c r="D6" s="104"/>
      <c r="E6" s="34"/>
    </row>
    <row r="7" spans="1:5" x14ac:dyDescent="0.3">
      <c r="A7" s="31" t="s">
        <v>4</v>
      </c>
      <c r="B7" s="32"/>
      <c r="C7" s="32">
        <v>0</v>
      </c>
      <c r="D7" s="32"/>
    </row>
    <row r="8" spans="1:5" x14ac:dyDescent="0.3">
      <c r="A8" s="63" t="s">
        <v>5</v>
      </c>
      <c r="B8" s="63"/>
      <c r="C8" s="63"/>
      <c r="D8" s="63"/>
    </row>
    <row r="9" spans="1:5" x14ac:dyDescent="0.3">
      <c r="A9" s="31" t="s">
        <v>6</v>
      </c>
      <c r="B9" s="32">
        <v>0</v>
      </c>
      <c r="C9" s="32">
        <f>877121-58475</f>
        <v>818646</v>
      </c>
      <c r="D9" s="32">
        <v>0</v>
      </c>
    </row>
    <row r="10" spans="1:5" x14ac:dyDescent="0.3">
      <c r="A10" s="31" t="s">
        <v>7</v>
      </c>
      <c r="B10" s="32">
        <v>0</v>
      </c>
      <c r="C10" s="32">
        <f>22773-284</f>
        <v>22489</v>
      </c>
      <c r="D10" s="32"/>
    </row>
    <row r="11" spans="1:5" x14ac:dyDescent="0.3">
      <c r="A11" s="31" t="s">
        <v>8</v>
      </c>
      <c r="B11" s="32">
        <v>0</v>
      </c>
      <c r="C11" s="32">
        <f>2801-467</f>
        <v>2334</v>
      </c>
      <c r="D11" s="32"/>
    </row>
    <row r="12" spans="1:5" x14ac:dyDescent="0.3">
      <c r="A12" s="31" t="s">
        <v>9</v>
      </c>
      <c r="B12" s="32">
        <v>0</v>
      </c>
      <c r="C12" s="32">
        <v>0</v>
      </c>
      <c r="D12" s="32">
        <v>0</v>
      </c>
    </row>
    <row r="13" spans="1:5" x14ac:dyDescent="0.3">
      <c r="A13" s="31" t="s">
        <v>10</v>
      </c>
      <c r="B13" s="255">
        <v>19269</v>
      </c>
      <c r="C13" s="32">
        <v>0</v>
      </c>
      <c r="D13" s="32">
        <v>0</v>
      </c>
    </row>
    <row r="14" spans="1:5" x14ac:dyDescent="0.3">
      <c r="A14" s="31" t="s">
        <v>11</v>
      </c>
      <c r="B14" s="32">
        <v>0</v>
      </c>
      <c r="C14" s="32">
        <v>0</v>
      </c>
      <c r="D14" s="32">
        <v>0</v>
      </c>
    </row>
    <row r="15" spans="1:5" x14ac:dyDescent="0.3">
      <c r="A15" s="31" t="s">
        <v>12</v>
      </c>
      <c r="B15" s="32">
        <v>0</v>
      </c>
      <c r="C15" s="32">
        <v>0</v>
      </c>
      <c r="D15" s="32">
        <v>0</v>
      </c>
    </row>
    <row r="16" spans="1:5" x14ac:dyDescent="0.3">
      <c r="A16" s="31" t="s">
        <v>13</v>
      </c>
      <c r="B16" s="37">
        <f>SUM(B9:B15)</f>
        <v>19269</v>
      </c>
      <c r="C16" s="37">
        <f>SUM(C9:C15)</f>
        <v>843469</v>
      </c>
      <c r="D16" s="37">
        <f>SUM(D9:D15)</f>
        <v>0</v>
      </c>
    </row>
    <row r="17" spans="1:7" ht="14.4" customHeight="1" thickBot="1" x14ac:dyDescent="0.35">
      <c r="A17" s="31" t="s">
        <v>14</v>
      </c>
      <c r="B17" s="32">
        <v>0</v>
      </c>
      <c r="C17" s="32">
        <v>0</v>
      </c>
      <c r="D17" s="32">
        <v>0</v>
      </c>
    </row>
    <row r="18" spans="1:7" ht="14.4" customHeight="1" thickBot="1" x14ac:dyDescent="0.35">
      <c r="A18" s="33" t="s">
        <v>15</v>
      </c>
      <c r="B18" s="170">
        <f>SUM(B7+B16+B17)</f>
        <v>19269</v>
      </c>
      <c r="C18" s="170">
        <f>SUM(C7+C16+C17)</f>
        <v>843469</v>
      </c>
      <c r="D18" s="170">
        <f>SUM(D7+D16+D17)</f>
        <v>0</v>
      </c>
      <c r="F18" s="256">
        <v>19269</v>
      </c>
      <c r="G18" s="257">
        <v>843469</v>
      </c>
    </row>
    <row r="19" spans="1:7" s="48" customFormat="1" x14ac:dyDescent="0.3">
      <c r="A19" s="33" t="s">
        <v>16</v>
      </c>
      <c r="B19" s="99"/>
      <c r="C19" s="99"/>
      <c r="D19" s="99"/>
      <c r="E19" s="34"/>
    </row>
    <row r="20" spans="1:7" x14ac:dyDescent="0.3">
      <c r="A20" s="31" t="s">
        <v>17</v>
      </c>
      <c r="B20" s="63"/>
      <c r="C20" s="63"/>
      <c r="D20" s="63"/>
    </row>
    <row r="21" spans="1:7" x14ac:dyDescent="0.3">
      <c r="A21" s="31" t="s">
        <v>18</v>
      </c>
      <c r="B21" s="32">
        <v>0</v>
      </c>
      <c r="C21" s="32">
        <v>7287</v>
      </c>
      <c r="D21" s="32"/>
    </row>
    <row r="22" spans="1:7" x14ac:dyDescent="0.3">
      <c r="A22" s="31" t="s">
        <v>19</v>
      </c>
      <c r="B22" s="32">
        <v>0</v>
      </c>
      <c r="C22" s="32">
        <v>0</v>
      </c>
      <c r="D22" s="32">
        <v>0</v>
      </c>
    </row>
    <row r="23" spans="1:7" x14ac:dyDescent="0.3">
      <c r="A23" s="31" t="s">
        <v>20</v>
      </c>
      <c r="B23" s="32">
        <v>0</v>
      </c>
      <c r="C23" s="32">
        <v>56706</v>
      </c>
      <c r="D23" s="32">
        <v>0</v>
      </c>
    </row>
    <row r="24" spans="1:7" x14ac:dyDescent="0.3">
      <c r="A24" s="31" t="s">
        <v>21</v>
      </c>
      <c r="B24" s="32">
        <v>0</v>
      </c>
      <c r="C24" s="32">
        <v>0</v>
      </c>
      <c r="D24" s="32">
        <v>0</v>
      </c>
    </row>
    <row r="25" spans="1:7" s="48" customFormat="1" x14ac:dyDescent="0.3">
      <c r="A25" s="31" t="s">
        <v>22</v>
      </c>
      <c r="B25" s="37">
        <f>SUM(B21:B24)</f>
        <v>0</v>
      </c>
      <c r="C25" s="37">
        <f>SUM(C21:C24)</f>
        <v>63993</v>
      </c>
      <c r="D25" s="37">
        <f>SUM(D21:D24)</f>
        <v>0</v>
      </c>
      <c r="E25" s="34"/>
    </row>
    <row r="26" spans="1:7" x14ac:dyDescent="0.3">
      <c r="A26" s="31" t="s">
        <v>23</v>
      </c>
      <c r="B26" s="32">
        <v>0</v>
      </c>
      <c r="C26" s="255">
        <v>84392</v>
      </c>
      <c r="D26" s="32"/>
    </row>
    <row r="27" spans="1:7" x14ac:dyDescent="0.3">
      <c r="A27" s="31" t="s">
        <v>24</v>
      </c>
      <c r="B27" s="260">
        <v>0</v>
      </c>
      <c r="C27" s="260">
        <v>0</v>
      </c>
      <c r="D27" s="32">
        <v>0</v>
      </c>
    </row>
    <row r="28" spans="1:7" x14ac:dyDescent="0.3">
      <c r="A28" s="258" t="s">
        <v>25</v>
      </c>
      <c r="B28" s="262">
        <v>5214</v>
      </c>
      <c r="C28" s="262">
        <v>14990</v>
      </c>
      <c r="D28" s="259"/>
    </row>
    <row r="29" spans="1:7" s="48" customFormat="1" x14ac:dyDescent="0.3">
      <c r="A29" s="33" t="s">
        <v>26</v>
      </c>
      <c r="B29" s="261">
        <f>SUM(B26:B28)+B25</f>
        <v>5214</v>
      </c>
      <c r="C29" s="261">
        <f>SUM(C26:C28)+C25</f>
        <v>163375</v>
      </c>
      <c r="D29" s="170">
        <f>SUM(D26:D28)+D25</f>
        <v>0</v>
      </c>
      <c r="E29" s="34"/>
    </row>
    <row r="30" spans="1:7" s="48" customFormat="1" x14ac:dyDescent="0.3">
      <c r="A30" s="33" t="s">
        <v>27</v>
      </c>
      <c r="B30" s="163">
        <f>B31+B32</f>
        <v>0</v>
      </c>
      <c r="C30" s="163">
        <f>C31+C32</f>
        <v>0</v>
      </c>
      <c r="D30" s="163">
        <f>D31+D32</f>
        <v>0</v>
      </c>
      <c r="E30" s="34"/>
    </row>
    <row r="31" spans="1:7" s="48" customFormat="1" x14ac:dyDescent="0.3">
      <c r="A31" s="31" t="s">
        <v>28</v>
      </c>
      <c r="B31" s="32"/>
      <c r="C31" s="32"/>
      <c r="D31" s="32"/>
      <c r="E31" s="34"/>
    </row>
    <row r="32" spans="1:7" s="48" customFormat="1" ht="14.4" customHeight="1" thickBot="1" x14ac:dyDescent="0.35">
      <c r="A32" s="31" t="s">
        <v>29</v>
      </c>
      <c r="B32" s="32">
        <v>0</v>
      </c>
      <c r="C32" s="32">
        <v>0</v>
      </c>
      <c r="D32" s="32">
        <v>0</v>
      </c>
      <c r="E32" s="34"/>
    </row>
    <row r="33" spans="1:9" s="48" customFormat="1" ht="14.4" customHeight="1" thickBot="1" x14ac:dyDescent="0.35">
      <c r="A33" s="99" t="s">
        <v>30</v>
      </c>
      <c r="B33" s="99"/>
      <c r="C33" s="99"/>
      <c r="D33" s="99"/>
      <c r="E33" s="34"/>
      <c r="F33" s="256">
        <v>25000</v>
      </c>
      <c r="G33" s="257">
        <v>71854</v>
      </c>
    </row>
    <row r="34" spans="1:9" ht="27.6" customHeight="1" x14ac:dyDescent="0.3">
      <c r="A34" s="31" t="s">
        <v>31</v>
      </c>
      <c r="B34" s="32">
        <v>0</v>
      </c>
      <c r="C34" s="32">
        <v>0</v>
      </c>
      <c r="D34" s="32">
        <v>0</v>
      </c>
    </row>
    <row r="35" spans="1:9" x14ac:dyDescent="0.3">
      <c r="A35" s="31" t="s">
        <v>32</v>
      </c>
      <c r="B35" s="32">
        <v>0</v>
      </c>
      <c r="C35" s="255">
        <v>0</v>
      </c>
      <c r="D35" s="32">
        <v>0</v>
      </c>
    </row>
    <row r="36" spans="1:9" x14ac:dyDescent="0.3">
      <c r="A36" s="31" t="s">
        <v>33</v>
      </c>
      <c r="B36" s="32">
        <v>0</v>
      </c>
      <c r="C36" s="32">
        <v>0</v>
      </c>
      <c r="D36" s="32">
        <v>0</v>
      </c>
    </row>
    <row r="37" spans="1:9" x14ac:dyDescent="0.3">
      <c r="A37" s="31" t="s">
        <v>34</v>
      </c>
      <c r="B37" s="32">
        <v>0</v>
      </c>
      <c r="C37" s="255">
        <v>25167</v>
      </c>
      <c r="D37" s="32"/>
    </row>
    <row r="38" spans="1:9" x14ac:dyDescent="0.3">
      <c r="A38" s="31" t="s">
        <v>35</v>
      </c>
      <c r="B38" s="32">
        <v>0</v>
      </c>
      <c r="C38" s="32">
        <v>0</v>
      </c>
      <c r="D38" s="32">
        <v>0</v>
      </c>
    </row>
    <row r="39" spans="1:9" x14ac:dyDescent="0.3">
      <c r="A39" s="31" t="s">
        <v>36</v>
      </c>
      <c r="B39" s="32">
        <v>0</v>
      </c>
      <c r="C39" s="32">
        <v>0</v>
      </c>
      <c r="D39" s="32">
        <v>0</v>
      </c>
    </row>
    <row r="40" spans="1:9" ht="27.6" customHeight="1" x14ac:dyDescent="0.3">
      <c r="A40" s="31" t="s">
        <v>37</v>
      </c>
      <c r="B40" s="32">
        <v>0</v>
      </c>
      <c r="C40" s="32">
        <v>0</v>
      </c>
      <c r="D40" s="32">
        <v>0</v>
      </c>
    </row>
    <row r="41" spans="1:9" ht="27.6" customHeight="1" x14ac:dyDescent="0.3">
      <c r="A41" s="31" t="s">
        <v>38</v>
      </c>
      <c r="B41" s="32">
        <f>25000</f>
        <v>25000</v>
      </c>
      <c r="C41" s="32">
        <f>15015+15012+15700+960</f>
        <v>46687</v>
      </c>
      <c r="D41" s="32"/>
    </row>
    <row r="42" spans="1:9" ht="14.4" customHeight="1" thickBot="1" x14ac:dyDescent="0.35">
      <c r="A42" s="33" t="s">
        <v>39</v>
      </c>
      <c r="B42" s="170">
        <f>SUM(B34:B41)</f>
        <v>25000</v>
      </c>
      <c r="C42" s="170">
        <f>SUM(C34:C41)</f>
        <v>71854</v>
      </c>
      <c r="D42" s="170">
        <f>SUM(D34:D41)</f>
        <v>0</v>
      </c>
    </row>
    <row r="43" spans="1:9" s="48" customFormat="1" ht="14.4" customHeight="1" thickBot="1" x14ac:dyDescent="0.35">
      <c r="A43" s="33" t="s">
        <v>40</v>
      </c>
      <c r="B43" s="170">
        <f>B29+B31-B42-B58-B61-B64</f>
        <v>-19786</v>
      </c>
      <c r="C43" s="170">
        <f>C29+C31-C42-C58-C61-C64</f>
        <v>91521</v>
      </c>
      <c r="D43" s="170">
        <f>D29+D31-D42-D58-D61-D64</f>
        <v>0</v>
      </c>
      <c r="E43" s="34"/>
      <c r="F43" s="256">
        <v>-19786</v>
      </c>
      <c r="G43" s="257">
        <v>91521</v>
      </c>
      <c r="I43" s="34">
        <f>G43-C43</f>
        <v>0</v>
      </c>
    </row>
    <row r="44" spans="1:9" s="48" customFormat="1" ht="14.4" customHeight="1" thickBot="1" x14ac:dyDescent="0.35">
      <c r="A44" s="33" t="s">
        <v>41</v>
      </c>
      <c r="B44" s="36">
        <f>B18+B43+B32</f>
        <v>-517</v>
      </c>
      <c r="C44" s="36">
        <f>C18+C43+C32</f>
        <v>934990</v>
      </c>
      <c r="D44" s="36">
        <f>D18+D43+D32</f>
        <v>0</v>
      </c>
      <c r="F44" s="263">
        <v>-517</v>
      </c>
      <c r="G44" s="264">
        <v>934990</v>
      </c>
    </row>
    <row r="45" spans="1:9" ht="15" customHeight="1" thickBot="1" x14ac:dyDescent="0.35">
      <c r="A45" s="99" t="s">
        <v>42</v>
      </c>
      <c r="B45" s="99"/>
      <c r="C45" s="99"/>
      <c r="D45" s="99"/>
      <c r="F45" s="265"/>
      <c r="G45" s="264">
        <v>113100</v>
      </c>
    </row>
    <row r="46" spans="1:9" ht="27.6" customHeight="1" x14ac:dyDescent="0.3">
      <c r="A46" s="31" t="s">
        <v>43</v>
      </c>
      <c r="B46" s="32">
        <v>0</v>
      </c>
      <c r="C46" s="32">
        <v>0</v>
      </c>
      <c r="D46" s="32">
        <v>0</v>
      </c>
    </row>
    <row r="47" spans="1:9" x14ac:dyDescent="0.3">
      <c r="A47" s="31" t="s">
        <v>32</v>
      </c>
      <c r="B47" s="32">
        <v>0</v>
      </c>
      <c r="C47" s="255">
        <v>113100</v>
      </c>
      <c r="D47" s="32">
        <v>0</v>
      </c>
    </row>
    <row r="48" spans="1:9" x14ac:dyDescent="0.3">
      <c r="A48" s="31" t="s">
        <v>33</v>
      </c>
      <c r="B48" s="32">
        <v>0</v>
      </c>
      <c r="C48" s="32">
        <v>0</v>
      </c>
      <c r="D48" s="32">
        <v>0</v>
      </c>
    </row>
    <row r="49" spans="1:5" x14ac:dyDescent="0.3">
      <c r="A49" s="31" t="s">
        <v>34</v>
      </c>
      <c r="B49" s="32">
        <v>0</v>
      </c>
      <c r="C49" s="32">
        <v>0</v>
      </c>
      <c r="D49" s="32">
        <v>0</v>
      </c>
    </row>
    <row r="50" spans="1:5" x14ac:dyDescent="0.3">
      <c r="A50" s="31" t="s">
        <v>44</v>
      </c>
      <c r="B50" s="32">
        <v>0</v>
      </c>
      <c r="C50" s="32">
        <v>0</v>
      </c>
      <c r="D50" s="32">
        <v>0</v>
      </c>
    </row>
    <row r="51" spans="1:5" x14ac:dyDescent="0.3">
      <c r="A51" s="31" t="s">
        <v>45</v>
      </c>
      <c r="B51" s="32">
        <v>0</v>
      </c>
      <c r="C51" s="32">
        <v>0</v>
      </c>
      <c r="D51" s="32">
        <v>0</v>
      </c>
    </row>
    <row r="52" spans="1:5" ht="27.6" customHeight="1" x14ac:dyDescent="0.3">
      <c r="A52" s="31" t="s">
        <v>37</v>
      </c>
      <c r="B52" s="32">
        <v>0</v>
      </c>
      <c r="C52" s="32">
        <v>0</v>
      </c>
      <c r="D52" s="32">
        <v>0</v>
      </c>
    </row>
    <row r="53" spans="1:5" ht="27.6" customHeight="1" x14ac:dyDescent="0.3">
      <c r="A53" s="31" t="s">
        <v>46</v>
      </c>
      <c r="B53" s="32">
        <v>0</v>
      </c>
      <c r="C53" s="32">
        <v>0</v>
      </c>
      <c r="D53" s="32"/>
    </row>
    <row r="54" spans="1:5" s="48" customFormat="1" x14ac:dyDescent="0.3">
      <c r="A54" s="33" t="s">
        <v>47</v>
      </c>
      <c r="B54" s="170">
        <f>SUM(B46:B53)</f>
        <v>0</v>
      </c>
      <c r="C54" s="170">
        <f>SUM(C46:C53)</f>
        <v>113100</v>
      </c>
      <c r="D54" s="170">
        <f>SUM(D46:D53)</f>
        <v>0</v>
      </c>
      <c r="E54" s="34"/>
    </row>
    <row r="55" spans="1:5" s="48" customFormat="1" x14ac:dyDescent="0.3">
      <c r="A55" s="33" t="s">
        <v>48</v>
      </c>
      <c r="B55" s="32">
        <v>0</v>
      </c>
      <c r="C55" s="32">
        <v>0</v>
      </c>
      <c r="D55" s="32">
        <v>0</v>
      </c>
      <c r="E55" s="34"/>
    </row>
    <row r="56" spans="1:5" s="48" customFormat="1" x14ac:dyDescent="0.3">
      <c r="A56" s="33" t="s">
        <v>49</v>
      </c>
      <c r="B56" s="164">
        <f>B57+B60+B63+B66</f>
        <v>0</v>
      </c>
      <c r="C56" s="164">
        <f>C57+C60+C63+C66</f>
        <v>0</v>
      </c>
      <c r="D56" s="164">
        <f>D57+D60+D63+D66</f>
        <v>0</v>
      </c>
      <c r="E56" s="34"/>
    </row>
    <row r="57" spans="1:5" s="48" customFormat="1" x14ac:dyDescent="0.3">
      <c r="A57" s="31" t="s">
        <v>50</v>
      </c>
      <c r="B57" s="164">
        <f>B58+B59</f>
        <v>0</v>
      </c>
      <c r="C57" s="164">
        <f>C58+C59</f>
        <v>0</v>
      </c>
      <c r="D57" s="164">
        <f>D58+D59</f>
        <v>0</v>
      </c>
      <c r="E57" s="34"/>
    </row>
    <row r="58" spans="1:5" s="48" customFormat="1" x14ac:dyDescent="0.3">
      <c r="A58" s="31" t="s">
        <v>51</v>
      </c>
      <c r="B58" s="32">
        <v>0</v>
      </c>
      <c r="C58" s="32">
        <v>0</v>
      </c>
      <c r="D58" s="32">
        <v>0</v>
      </c>
      <c r="E58" s="34"/>
    </row>
    <row r="59" spans="1:5" s="48" customFormat="1" x14ac:dyDescent="0.3">
      <c r="A59" s="31" t="s">
        <v>52</v>
      </c>
      <c r="B59" s="32">
        <v>0</v>
      </c>
      <c r="C59" s="32">
        <v>0</v>
      </c>
      <c r="D59" s="32">
        <v>0</v>
      </c>
      <c r="E59" s="34"/>
    </row>
    <row r="60" spans="1:5" s="48" customFormat="1" x14ac:dyDescent="0.3">
      <c r="A60" s="31" t="s">
        <v>53</v>
      </c>
      <c r="B60" s="164">
        <f>B61+B62</f>
        <v>0</v>
      </c>
      <c r="C60" s="164">
        <f>C61+C62</f>
        <v>0</v>
      </c>
      <c r="D60" s="164">
        <f>D61+D62</f>
        <v>0</v>
      </c>
      <c r="E60" s="34"/>
    </row>
    <row r="61" spans="1:5" s="48" customFormat="1" x14ac:dyDescent="0.3">
      <c r="A61" s="31" t="s">
        <v>54</v>
      </c>
      <c r="B61" s="32">
        <v>0</v>
      </c>
      <c r="C61" s="32">
        <v>0</v>
      </c>
      <c r="D61" s="32">
        <v>0</v>
      </c>
      <c r="E61" s="34"/>
    </row>
    <row r="62" spans="1:5" s="48" customFormat="1" x14ac:dyDescent="0.3">
      <c r="A62" s="31" t="s">
        <v>55</v>
      </c>
      <c r="B62" s="32">
        <v>0</v>
      </c>
      <c r="C62" s="32">
        <v>0</v>
      </c>
      <c r="D62" s="32">
        <v>0</v>
      </c>
      <c r="E62" s="34"/>
    </row>
    <row r="63" spans="1:5" s="48" customFormat="1" x14ac:dyDescent="0.3">
      <c r="A63" s="33" t="s">
        <v>56</v>
      </c>
      <c r="B63" s="164">
        <f>B64+B65</f>
        <v>0</v>
      </c>
      <c r="C63" s="164">
        <f>C64+C65</f>
        <v>0</v>
      </c>
      <c r="D63" s="164">
        <f>D64+D65</f>
        <v>0</v>
      </c>
      <c r="E63" s="34"/>
    </row>
    <row r="64" spans="1:5" s="48" customFormat="1" x14ac:dyDescent="0.3">
      <c r="A64" s="31" t="s">
        <v>51</v>
      </c>
      <c r="B64" s="32">
        <v>0</v>
      </c>
      <c r="C64" s="32">
        <v>0</v>
      </c>
      <c r="D64" s="32">
        <v>0</v>
      </c>
      <c r="E64" s="34"/>
    </row>
    <row r="65" spans="1:5" s="48" customFormat="1" x14ac:dyDescent="0.3">
      <c r="A65" s="31" t="s">
        <v>52</v>
      </c>
      <c r="B65" s="32">
        <v>0</v>
      </c>
      <c r="C65" s="32">
        <v>0</v>
      </c>
      <c r="D65" s="32">
        <v>0</v>
      </c>
      <c r="E65" s="34"/>
    </row>
    <row r="66" spans="1:5" s="48" customFormat="1" x14ac:dyDescent="0.3">
      <c r="A66" s="31" t="s">
        <v>57</v>
      </c>
      <c r="B66" s="32">
        <v>0</v>
      </c>
      <c r="C66" s="32">
        <v>0</v>
      </c>
      <c r="D66" s="32">
        <v>0</v>
      </c>
      <c r="E66" s="34"/>
    </row>
    <row r="67" spans="1:5" s="48" customFormat="1" x14ac:dyDescent="0.3">
      <c r="A67" s="99" t="s">
        <v>58</v>
      </c>
      <c r="B67" s="99"/>
      <c r="C67" s="99"/>
      <c r="D67" s="99"/>
      <c r="E67" s="34"/>
    </row>
    <row r="68" spans="1:5" x14ac:dyDescent="0.3">
      <c r="A68" s="31" t="s">
        <v>59</v>
      </c>
      <c r="B68" s="267">
        <f>SUM(B69:B73)</f>
        <v>200</v>
      </c>
      <c r="C68" s="267">
        <f>SUM(C69:C73)</f>
        <v>200</v>
      </c>
      <c r="D68" s="37">
        <f>SUM(D69:D73)</f>
        <v>0</v>
      </c>
    </row>
    <row r="69" spans="1:5" x14ac:dyDescent="0.3">
      <c r="A69" s="266" t="s">
        <v>60</v>
      </c>
      <c r="B69" s="262">
        <v>200</v>
      </c>
      <c r="C69" s="262">
        <v>200</v>
      </c>
      <c r="D69" s="259"/>
    </row>
    <row r="70" spans="1:5" x14ac:dyDescent="0.3">
      <c r="A70" s="38" t="s">
        <v>61</v>
      </c>
      <c r="B70" s="268">
        <v>0</v>
      </c>
      <c r="C70" s="268">
        <v>0</v>
      </c>
      <c r="D70" s="32">
        <v>0</v>
      </c>
    </row>
    <row r="71" spans="1:5" x14ac:dyDescent="0.3">
      <c r="A71" s="38" t="s">
        <v>62</v>
      </c>
      <c r="B71" s="32">
        <v>0</v>
      </c>
      <c r="C71" s="32">
        <v>0</v>
      </c>
      <c r="D71" s="32">
        <v>0</v>
      </c>
    </row>
    <row r="72" spans="1:5" x14ac:dyDescent="0.3">
      <c r="A72" s="38" t="s">
        <v>63</v>
      </c>
      <c r="B72" s="32">
        <v>0</v>
      </c>
      <c r="C72" s="32">
        <v>0</v>
      </c>
      <c r="D72" s="32">
        <v>0</v>
      </c>
    </row>
    <row r="73" spans="1:5" x14ac:dyDescent="0.3">
      <c r="A73" s="38" t="s">
        <v>64</v>
      </c>
      <c r="B73" s="32">
        <v>0</v>
      </c>
      <c r="C73" s="32">
        <v>0</v>
      </c>
      <c r="D73" s="32">
        <v>0</v>
      </c>
    </row>
    <row r="74" spans="1:5" x14ac:dyDescent="0.3">
      <c r="A74" s="31" t="s">
        <v>65</v>
      </c>
      <c r="B74" s="32">
        <v>0</v>
      </c>
      <c r="C74" s="32">
        <v>0</v>
      </c>
      <c r="D74" s="32">
        <v>0</v>
      </c>
    </row>
    <row r="75" spans="1:5" x14ac:dyDescent="0.3">
      <c r="A75" s="31" t="s">
        <v>66</v>
      </c>
      <c r="B75" s="37">
        <f>B76-B77</f>
        <v>0</v>
      </c>
      <c r="C75" s="37">
        <f>C76-C77</f>
        <v>0</v>
      </c>
      <c r="D75" s="37">
        <f>D76-D77</f>
        <v>0</v>
      </c>
    </row>
    <row r="76" spans="1:5" x14ac:dyDescent="0.3">
      <c r="A76" s="31" t="s">
        <v>67</v>
      </c>
      <c r="B76" s="32">
        <v>0</v>
      </c>
      <c r="C76" s="32">
        <v>0</v>
      </c>
      <c r="D76" s="32">
        <v>0</v>
      </c>
    </row>
    <row r="77" spans="1:5" x14ac:dyDescent="0.3">
      <c r="A77" s="31" t="s">
        <v>68</v>
      </c>
      <c r="B77" s="32">
        <v>0</v>
      </c>
      <c r="C77" s="32">
        <v>0</v>
      </c>
      <c r="D77" s="32">
        <v>0</v>
      </c>
    </row>
    <row r="78" spans="1:5" x14ac:dyDescent="0.3">
      <c r="A78" s="31" t="s">
        <v>69</v>
      </c>
      <c r="B78" s="32">
        <v>0</v>
      </c>
      <c r="C78" s="255">
        <v>40</v>
      </c>
      <c r="D78" s="32"/>
    </row>
    <row r="79" spans="1:5" x14ac:dyDescent="0.3">
      <c r="A79" s="31" t="s">
        <v>70</v>
      </c>
      <c r="B79" s="32">
        <v>0</v>
      </c>
      <c r="C79" s="32">
        <v>0</v>
      </c>
      <c r="D79" s="32">
        <v>0</v>
      </c>
    </row>
    <row r="80" spans="1:5" x14ac:dyDescent="0.3">
      <c r="A80" s="31" t="s">
        <v>71</v>
      </c>
      <c r="B80" s="32">
        <v>0</v>
      </c>
      <c r="C80" s="32">
        <v>0</v>
      </c>
      <c r="D80" s="32">
        <v>0</v>
      </c>
    </row>
    <row r="81" spans="1:5" x14ac:dyDescent="0.3">
      <c r="A81" s="31" t="s">
        <v>72</v>
      </c>
      <c r="B81" s="32">
        <v>0</v>
      </c>
      <c r="C81" s="32">
        <v>0</v>
      </c>
      <c r="D81" s="32">
        <v>0</v>
      </c>
    </row>
    <row r="82" spans="1:5" x14ac:dyDescent="0.3">
      <c r="A82" s="33" t="s">
        <v>73</v>
      </c>
      <c r="B82" s="37">
        <f>B83-B84</f>
        <v>0</v>
      </c>
      <c r="C82" s="37">
        <f>C83-C84</f>
        <v>-717</v>
      </c>
      <c r="D82" s="37">
        <f>D83-D84</f>
        <v>0</v>
      </c>
    </row>
    <row r="83" spans="1:5" x14ac:dyDescent="0.3">
      <c r="A83" s="31" t="s">
        <v>67</v>
      </c>
      <c r="B83" s="32">
        <v>0</v>
      </c>
      <c r="C83" s="32">
        <v>0</v>
      </c>
      <c r="D83" s="32"/>
    </row>
    <row r="84" spans="1:5" x14ac:dyDescent="0.3">
      <c r="A84" s="31" t="s">
        <v>68</v>
      </c>
      <c r="B84" s="32">
        <v>0</v>
      </c>
      <c r="C84" s="255">
        <v>717</v>
      </c>
      <c r="D84" s="32">
        <v>0</v>
      </c>
    </row>
    <row r="85" spans="1:5" x14ac:dyDescent="0.3">
      <c r="A85" s="33" t="s">
        <v>74</v>
      </c>
      <c r="B85" s="37">
        <f>B86-B87</f>
        <v>-717</v>
      </c>
      <c r="C85" s="37">
        <f>C86-C87</f>
        <v>822407</v>
      </c>
      <c r="D85" s="37">
        <f>D86-D87</f>
        <v>0</v>
      </c>
    </row>
    <row r="86" spans="1:5" x14ac:dyDescent="0.3">
      <c r="A86" s="31" t="s">
        <v>67</v>
      </c>
      <c r="B86" s="32">
        <v>0</v>
      </c>
      <c r="C86" s="255">
        <v>822407</v>
      </c>
      <c r="D86" s="32"/>
    </row>
    <row r="87" spans="1:5" x14ac:dyDescent="0.3">
      <c r="A87" s="31" t="s">
        <v>68</v>
      </c>
      <c r="B87" s="255">
        <v>717</v>
      </c>
      <c r="C87" s="32">
        <v>0</v>
      </c>
      <c r="D87" s="32">
        <v>0</v>
      </c>
    </row>
    <row r="88" spans="1:5" x14ac:dyDescent="0.3">
      <c r="A88" s="31" t="s">
        <v>75</v>
      </c>
      <c r="B88" s="32">
        <v>0</v>
      </c>
      <c r="C88" s="32">
        <v>40</v>
      </c>
      <c r="D88" s="32"/>
    </row>
    <row r="89" spans="1:5" x14ac:dyDescent="0.3">
      <c r="A89" s="33" t="s">
        <v>76</v>
      </c>
      <c r="B89" s="170">
        <f>B68+B74+B75+B78-B79+B80-B81+B83-B84+B86-B87-B88</f>
        <v>-517</v>
      </c>
      <c r="C89" s="170">
        <f>C68+C74+C75+C78-C79+C80-C81+C83-C84+C86-C87-C88</f>
        <v>821890</v>
      </c>
      <c r="D89" s="170">
        <f>D68+D74+D75+D78-D79+D80-D81+D83-D84+D86-D87-D88</f>
        <v>0</v>
      </c>
    </row>
    <row r="90" spans="1:5" x14ac:dyDescent="0.3">
      <c r="A90" s="33" t="s">
        <v>77</v>
      </c>
      <c r="B90" s="39">
        <v>0</v>
      </c>
      <c r="C90" s="39">
        <v>0</v>
      </c>
      <c r="D90" s="39">
        <v>0</v>
      </c>
    </row>
    <row r="91" spans="1:5" x14ac:dyDescent="0.3">
      <c r="A91" s="33" t="s">
        <v>78</v>
      </c>
      <c r="B91" s="39">
        <v>0</v>
      </c>
      <c r="C91" s="39">
        <v>0</v>
      </c>
      <c r="D91" s="39">
        <v>0</v>
      </c>
    </row>
    <row r="92" spans="1:5" x14ac:dyDescent="0.3">
      <c r="A92" s="33" t="s">
        <v>79</v>
      </c>
      <c r="B92" s="170">
        <f>B18+B29+B30-B42-B54-B55-B56</f>
        <v>-517</v>
      </c>
      <c r="C92" s="170">
        <f>C18+C29+C30-C42-C54-C55-C56</f>
        <v>821890</v>
      </c>
      <c r="D92" s="170">
        <f>D18+D29+D30-D42-D54-D55-D56</f>
        <v>0</v>
      </c>
    </row>
    <row r="93" spans="1:5" s="48" customFormat="1" x14ac:dyDescent="0.3">
      <c r="A93" s="33" t="s">
        <v>80</v>
      </c>
      <c r="B93" s="170">
        <f>B18+B29+B30</f>
        <v>24483</v>
      </c>
      <c r="C93" s="170">
        <f>C18+C29+C30</f>
        <v>1006844</v>
      </c>
      <c r="D93" s="170">
        <f>D18+D29+D30</f>
        <v>0</v>
      </c>
      <c r="E93" s="34"/>
    </row>
    <row r="94" spans="1:5" s="48" customFormat="1" x14ac:dyDescent="0.3">
      <c r="A94" s="33" t="s">
        <v>81</v>
      </c>
      <c r="B94" s="170">
        <f>B42+B54+B55+B56+B89</f>
        <v>24483</v>
      </c>
      <c r="C94" s="170">
        <f>C42+C54+C55+C56+C89</f>
        <v>1006844</v>
      </c>
      <c r="D94" s="170">
        <f>D42+D54+D55+D56+D89</f>
        <v>0</v>
      </c>
      <c r="E94" s="34"/>
    </row>
  </sheetData>
  <mergeCells count="1">
    <mergeCell ref="A3:D3"/>
  </mergeCells>
  <pageMargins left="0.7" right="0.7" top="0.75" bottom="0.75" header="0.3" footer="0.3"/>
  <pageSetup paperSize="9" fitToHeight="0" orientation="portrait" blackAndWhite="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3"/>
  <sheetViews>
    <sheetView workbookViewId="0"/>
  </sheetViews>
  <sheetFormatPr defaultColWidth="9.109375" defaultRowHeight="13.8" x14ac:dyDescent="0.3"/>
  <cols>
    <col min="1" max="1" width="22.5546875" style="239" customWidth="1"/>
    <col min="2" max="3" width="9.109375" style="239" customWidth="1"/>
    <col min="4" max="16384" width="9.109375" style="239"/>
  </cols>
  <sheetData>
    <row r="2" spans="1:2" x14ac:dyDescent="0.3">
      <c r="A2" s="395" t="s">
        <v>490</v>
      </c>
      <c r="B2" s="238" t="s">
        <v>461</v>
      </c>
    </row>
    <row r="3" spans="1:2" x14ac:dyDescent="0.3">
      <c r="A3" s="354"/>
      <c r="B3" s="238" t="s">
        <v>491</v>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134"/>
  <sheetViews>
    <sheetView topLeftCell="A127" workbookViewId="0">
      <selection activeCell="A105" sqref="A105:F105"/>
    </sheetView>
  </sheetViews>
  <sheetFormatPr defaultColWidth="9.109375" defaultRowHeight="14.4" x14ac:dyDescent="0.3"/>
  <cols>
    <col min="1" max="1" width="6.109375" style="27" customWidth="1"/>
    <col min="2" max="2" width="45.88671875" style="307" customWidth="1"/>
    <col min="3" max="3" width="11.5546875" style="299" customWidth="1"/>
    <col min="4" max="12" width="10.109375" style="299" customWidth="1"/>
    <col min="13" max="222" width="9.109375" style="16" customWidth="1"/>
    <col min="223" max="223" width="6.109375" style="16" customWidth="1"/>
    <col min="224" max="224" width="79.5546875" style="16" customWidth="1"/>
    <col min="225" max="228" width="14.6640625" style="16" customWidth="1"/>
    <col min="229" max="478" width="9.109375" style="16" customWidth="1"/>
    <col min="479" max="479" width="6.109375" style="16" customWidth="1"/>
    <col min="480" max="480" width="79.5546875" style="16" customWidth="1"/>
    <col min="481" max="484" width="14.6640625" style="16" customWidth="1"/>
    <col min="485" max="734" width="9.109375" style="16" customWidth="1"/>
    <col min="735" max="735" width="6.109375" style="16" customWidth="1"/>
    <col min="736" max="736" width="79.5546875" style="16" customWidth="1"/>
    <col min="737" max="740" width="14.6640625" style="16" customWidth="1"/>
    <col min="741" max="990" width="9.109375" style="16" customWidth="1"/>
    <col min="991" max="991" width="6.109375" style="16" customWidth="1"/>
    <col min="992" max="992" width="79.5546875" style="16" customWidth="1"/>
    <col min="993" max="996" width="14.6640625" style="16" customWidth="1"/>
    <col min="997" max="1246" width="9.109375" style="16" customWidth="1"/>
    <col min="1247" max="1247" width="6.109375" style="16" customWidth="1"/>
    <col min="1248" max="1248" width="79.5546875" style="16" customWidth="1"/>
    <col min="1249" max="1252" width="14.6640625" style="16" customWidth="1"/>
    <col min="1253" max="1502" width="9.109375" style="16" customWidth="1"/>
    <col min="1503" max="1503" width="6.109375" style="16" customWidth="1"/>
    <col min="1504" max="1504" width="79.5546875" style="16" customWidth="1"/>
    <col min="1505" max="1508" width="14.6640625" style="16" customWidth="1"/>
    <col min="1509" max="1758" width="9.109375" style="16" customWidth="1"/>
    <col min="1759" max="1759" width="6.109375" style="16" customWidth="1"/>
    <col min="1760" max="1760" width="79.5546875" style="16" customWidth="1"/>
    <col min="1761" max="1764" width="14.6640625" style="16" customWidth="1"/>
    <col min="1765" max="2014" width="9.109375" style="16" customWidth="1"/>
    <col min="2015" max="2015" width="6.109375" style="16" customWidth="1"/>
    <col min="2016" max="2016" width="79.5546875" style="16" customWidth="1"/>
    <col min="2017" max="2020" width="14.6640625" style="16" customWidth="1"/>
    <col min="2021" max="2270" width="9.109375" style="16" customWidth="1"/>
    <col min="2271" max="2271" width="6.109375" style="16" customWidth="1"/>
    <col min="2272" max="2272" width="79.5546875" style="16" customWidth="1"/>
    <col min="2273" max="2276" width="14.6640625" style="16" customWidth="1"/>
    <col min="2277" max="2526" width="9.109375" style="16" customWidth="1"/>
    <col min="2527" max="2527" width="6.109375" style="16" customWidth="1"/>
    <col min="2528" max="2528" width="79.5546875" style="16" customWidth="1"/>
    <col min="2529" max="2532" width="14.6640625" style="16" customWidth="1"/>
    <col min="2533" max="2782" width="9.109375" style="16" customWidth="1"/>
    <col min="2783" max="2783" width="6.109375" style="16" customWidth="1"/>
    <col min="2784" max="2784" width="79.5546875" style="16" customWidth="1"/>
    <col min="2785" max="2788" width="14.6640625" style="16" customWidth="1"/>
    <col min="2789" max="3038" width="9.109375" style="16" customWidth="1"/>
    <col min="3039" max="3039" width="6.109375" style="16" customWidth="1"/>
    <col min="3040" max="3040" width="79.5546875" style="16" customWidth="1"/>
    <col min="3041" max="3044" width="14.6640625" style="16" customWidth="1"/>
    <col min="3045" max="3294" width="9.109375" style="16" customWidth="1"/>
    <col min="3295" max="3295" width="6.109375" style="16" customWidth="1"/>
    <col min="3296" max="3296" width="79.5546875" style="16" customWidth="1"/>
    <col min="3297" max="3300" width="14.6640625" style="16" customWidth="1"/>
    <col min="3301" max="3550" width="9.109375" style="16" customWidth="1"/>
    <col min="3551" max="3551" width="6.109375" style="16" customWidth="1"/>
    <col min="3552" max="3552" width="79.5546875" style="16" customWidth="1"/>
    <col min="3553" max="3556" width="14.6640625" style="16" customWidth="1"/>
    <col min="3557" max="3806" width="9.109375" style="16" customWidth="1"/>
    <col min="3807" max="3807" width="6.109375" style="16" customWidth="1"/>
    <col min="3808" max="3808" width="79.5546875" style="16" customWidth="1"/>
    <col min="3809" max="3812" width="14.6640625" style="16" customWidth="1"/>
    <col min="3813" max="4062" width="9.109375" style="16" customWidth="1"/>
    <col min="4063" max="4063" width="6.109375" style="16" customWidth="1"/>
    <col min="4064" max="4064" width="79.5546875" style="16" customWidth="1"/>
    <col min="4065" max="4068" width="14.6640625" style="16" customWidth="1"/>
    <col min="4069" max="4318" width="9.109375" style="16" customWidth="1"/>
    <col min="4319" max="4319" width="6.109375" style="16" customWidth="1"/>
    <col min="4320" max="4320" width="79.5546875" style="16" customWidth="1"/>
    <col min="4321" max="4324" width="14.6640625" style="16" customWidth="1"/>
    <col min="4325" max="4574" width="9.109375" style="16" customWidth="1"/>
    <col min="4575" max="4575" width="6.109375" style="16" customWidth="1"/>
    <col min="4576" max="4576" width="79.5546875" style="16" customWidth="1"/>
    <col min="4577" max="4580" width="14.6640625" style="16" customWidth="1"/>
    <col min="4581" max="4830" width="9.109375" style="16" customWidth="1"/>
    <col min="4831" max="4831" width="6.109375" style="16" customWidth="1"/>
    <col min="4832" max="4832" width="79.5546875" style="16" customWidth="1"/>
    <col min="4833" max="4836" width="14.6640625" style="16" customWidth="1"/>
    <col min="4837" max="5086" width="9.109375" style="16" customWidth="1"/>
    <col min="5087" max="5087" width="6.109375" style="16" customWidth="1"/>
    <col min="5088" max="5088" width="79.5546875" style="16" customWidth="1"/>
    <col min="5089" max="5092" width="14.6640625" style="16" customWidth="1"/>
    <col min="5093" max="5342" width="9.109375" style="16" customWidth="1"/>
    <col min="5343" max="5343" width="6.109375" style="16" customWidth="1"/>
    <col min="5344" max="5344" width="79.5546875" style="16" customWidth="1"/>
    <col min="5345" max="5348" width="14.6640625" style="16" customWidth="1"/>
    <col min="5349" max="5598" width="9.109375" style="16" customWidth="1"/>
    <col min="5599" max="5599" width="6.109375" style="16" customWidth="1"/>
    <col min="5600" max="5600" width="79.5546875" style="16" customWidth="1"/>
    <col min="5601" max="5604" width="14.6640625" style="16" customWidth="1"/>
    <col min="5605" max="5854" width="9.109375" style="16" customWidth="1"/>
    <col min="5855" max="5855" width="6.109375" style="16" customWidth="1"/>
    <col min="5856" max="5856" width="79.5546875" style="16" customWidth="1"/>
    <col min="5857" max="5860" width="14.6640625" style="16" customWidth="1"/>
    <col min="5861" max="6110" width="9.109375" style="16" customWidth="1"/>
    <col min="6111" max="6111" width="6.109375" style="16" customWidth="1"/>
    <col min="6112" max="6112" width="79.5546875" style="16" customWidth="1"/>
    <col min="6113" max="6116" width="14.6640625" style="16" customWidth="1"/>
    <col min="6117" max="6366" width="9.109375" style="16" customWidth="1"/>
    <col min="6367" max="6367" width="6.109375" style="16" customWidth="1"/>
    <col min="6368" max="6368" width="79.5546875" style="16" customWidth="1"/>
    <col min="6369" max="6372" width="14.6640625" style="16" customWidth="1"/>
    <col min="6373" max="6622" width="9.109375" style="16" customWidth="1"/>
    <col min="6623" max="6623" width="6.109375" style="16" customWidth="1"/>
    <col min="6624" max="6624" width="79.5546875" style="16" customWidth="1"/>
    <col min="6625" max="6628" width="14.6640625" style="16" customWidth="1"/>
    <col min="6629" max="6878" width="9.109375" style="16" customWidth="1"/>
    <col min="6879" max="6879" width="6.109375" style="16" customWidth="1"/>
    <col min="6880" max="6880" width="79.5546875" style="16" customWidth="1"/>
    <col min="6881" max="6884" width="14.6640625" style="16" customWidth="1"/>
    <col min="6885" max="7134" width="9.109375" style="16" customWidth="1"/>
    <col min="7135" max="7135" width="6.109375" style="16" customWidth="1"/>
    <col min="7136" max="7136" width="79.5546875" style="16" customWidth="1"/>
    <col min="7137" max="7140" width="14.6640625" style="16" customWidth="1"/>
    <col min="7141" max="7390" width="9.109375" style="16" customWidth="1"/>
    <col min="7391" max="7391" width="6.109375" style="16" customWidth="1"/>
    <col min="7392" max="7392" width="79.5546875" style="16" customWidth="1"/>
    <col min="7393" max="7396" width="14.6640625" style="16" customWidth="1"/>
    <col min="7397" max="7646" width="9.109375" style="16" customWidth="1"/>
    <col min="7647" max="7647" width="6.109375" style="16" customWidth="1"/>
    <col min="7648" max="7648" width="79.5546875" style="16" customWidth="1"/>
    <col min="7649" max="7652" width="14.6640625" style="16" customWidth="1"/>
    <col min="7653" max="7902" width="9.109375" style="16" customWidth="1"/>
    <col min="7903" max="7903" width="6.109375" style="16" customWidth="1"/>
    <col min="7904" max="7904" width="79.5546875" style="16" customWidth="1"/>
    <col min="7905" max="7908" width="14.6640625" style="16" customWidth="1"/>
    <col min="7909" max="8158" width="9.109375" style="16" customWidth="1"/>
    <col min="8159" max="8159" width="6.109375" style="16" customWidth="1"/>
    <col min="8160" max="8160" width="79.5546875" style="16" customWidth="1"/>
    <col min="8161" max="8164" width="14.6640625" style="16" customWidth="1"/>
    <col min="8165" max="8414" width="9.109375" style="16" customWidth="1"/>
    <col min="8415" max="8415" width="6.109375" style="16" customWidth="1"/>
    <col min="8416" max="8416" width="79.5546875" style="16" customWidth="1"/>
    <col min="8417" max="8420" width="14.6640625" style="16" customWidth="1"/>
    <col min="8421" max="8670" width="9.109375" style="16" customWidth="1"/>
    <col min="8671" max="8671" width="6.109375" style="16" customWidth="1"/>
    <col min="8672" max="8672" width="79.5546875" style="16" customWidth="1"/>
    <col min="8673" max="8676" width="14.6640625" style="16" customWidth="1"/>
    <col min="8677" max="8926" width="9.109375" style="16" customWidth="1"/>
    <col min="8927" max="8927" width="6.109375" style="16" customWidth="1"/>
    <col min="8928" max="8928" width="79.5546875" style="16" customWidth="1"/>
    <col min="8929" max="8932" width="14.6640625" style="16" customWidth="1"/>
    <col min="8933" max="9182" width="9.109375" style="16" customWidth="1"/>
    <col min="9183" max="9183" width="6.109375" style="16" customWidth="1"/>
    <col min="9184" max="9184" width="79.5546875" style="16" customWidth="1"/>
    <col min="9185" max="9188" width="14.6640625" style="16" customWidth="1"/>
    <col min="9189" max="9438" width="9.109375" style="16" customWidth="1"/>
    <col min="9439" max="9439" width="6.109375" style="16" customWidth="1"/>
    <col min="9440" max="9440" width="79.5546875" style="16" customWidth="1"/>
    <col min="9441" max="9444" width="14.6640625" style="16" customWidth="1"/>
    <col min="9445" max="9694" width="9.109375" style="16" customWidth="1"/>
    <col min="9695" max="9695" width="6.109375" style="16" customWidth="1"/>
    <col min="9696" max="9696" width="79.5546875" style="16" customWidth="1"/>
    <col min="9697" max="9700" width="14.6640625" style="16" customWidth="1"/>
    <col min="9701" max="9950" width="9.109375" style="16" customWidth="1"/>
    <col min="9951" max="9951" width="6.109375" style="16" customWidth="1"/>
    <col min="9952" max="9952" width="79.5546875" style="16" customWidth="1"/>
    <col min="9953" max="9956" width="14.6640625" style="16" customWidth="1"/>
    <col min="9957" max="10206" width="9.109375" style="16" customWidth="1"/>
    <col min="10207" max="10207" width="6.109375" style="16" customWidth="1"/>
    <col min="10208" max="10208" width="79.5546875" style="16" customWidth="1"/>
    <col min="10209" max="10212" width="14.6640625" style="16" customWidth="1"/>
    <col min="10213" max="10462" width="9.109375" style="16" customWidth="1"/>
    <col min="10463" max="10463" width="6.109375" style="16" customWidth="1"/>
    <col min="10464" max="10464" width="79.5546875" style="16" customWidth="1"/>
    <col min="10465" max="10468" width="14.6640625" style="16" customWidth="1"/>
    <col min="10469" max="10718" width="9.109375" style="16" customWidth="1"/>
    <col min="10719" max="10719" width="6.109375" style="16" customWidth="1"/>
    <col min="10720" max="10720" width="79.5546875" style="16" customWidth="1"/>
    <col min="10721" max="10724" width="14.6640625" style="16" customWidth="1"/>
    <col min="10725" max="10974" width="9.109375" style="16" customWidth="1"/>
    <col min="10975" max="10975" width="6.109375" style="16" customWidth="1"/>
    <col min="10976" max="10976" width="79.5546875" style="16" customWidth="1"/>
    <col min="10977" max="10980" width="14.6640625" style="16" customWidth="1"/>
    <col min="10981" max="11230" width="9.109375" style="16" customWidth="1"/>
    <col min="11231" max="11231" width="6.109375" style="16" customWidth="1"/>
    <col min="11232" max="11232" width="79.5546875" style="16" customWidth="1"/>
    <col min="11233" max="11236" width="14.6640625" style="16" customWidth="1"/>
    <col min="11237" max="11486" width="9.109375" style="16" customWidth="1"/>
    <col min="11487" max="11487" width="6.109375" style="16" customWidth="1"/>
    <col min="11488" max="11488" width="79.5546875" style="16" customWidth="1"/>
    <col min="11489" max="11492" width="14.6640625" style="16" customWidth="1"/>
    <col min="11493" max="11742" width="9.109375" style="16" customWidth="1"/>
    <col min="11743" max="11743" width="6.109375" style="16" customWidth="1"/>
    <col min="11744" max="11744" width="79.5546875" style="16" customWidth="1"/>
    <col min="11745" max="11748" width="14.6640625" style="16" customWidth="1"/>
    <col min="11749" max="11998" width="9.109375" style="16" customWidth="1"/>
    <col min="11999" max="11999" width="6.109375" style="16" customWidth="1"/>
    <col min="12000" max="12000" width="79.5546875" style="16" customWidth="1"/>
    <col min="12001" max="12004" width="14.6640625" style="16" customWidth="1"/>
    <col min="12005" max="12254" width="9.109375" style="16" customWidth="1"/>
    <col min="12255" max="12255" width="6.109375" style="16" customWidth="1"/>
    <col min="12256" max="12256" width="79.5546875" style="16" customWidth="1"/>
    <col min="12257" max="12260" width="14.6640625" style="16" customWidth="1"/>
    <col min="12261" max="12510" width="9.109375" style="16" customWidth="1"/>
    <col min="12511" max="12511" width="6.109375" style="16" customWidth="1"/>
    <col min="12512" max="12512" width="79.5546875" style="16" customWidth="1"/>
    <col min="12513" max="12516" width="14.6640625" style="16" customWidth="1"/>
    <col min="12517" max="12766" width="9.109375" style="16" customWidth="1"/>
    <col min="12767" max="12767" width="6.109375" style="16" customWidth="1"/>
    <col min="12768" max="12768" width="79.5546875" style="16" customWidth="1"/>
    <col min="12769" max="12772" width="14.6640625" style="16" customWidth="1"/>
    <col min="12773" max="13022" width="9.109375" style="16" customWidth="1"/>
    <col min="13023" max="13023" width="6.109375" style="16" customWidth="1"/>
    <col min="13024" max="13024" width="79.5546875" style="16" customWidth="1"/>
    <col min="13025" max="13028" width="14.6640625" style="16" customWidth="1"/>
    <col min="13029" max="13278" width="9.109375" style="16" customWidth="1"/>
    <col min="13279" max="13279" width="6.109375" style="16" customWidth="1"/>
    <col min="13280" max="13280" width="79.5546875" style="16" customWidth="1"/>
    <col min="13281" max="13284" width="14.6640625" style="16" customWidth="1"/>
    <col min="13285" max="13534" width="9.109375" style="16" customWidth="1"/>
    <col min="13535" max="13535" width="6.109375" style="16" customWidth="1"/>
    <col min="13536" max="13536" width="79.5546875" style="16" customWidth="1"/>
    <col min="13537" max="13540" width="14.6640625" style="16" customWidth="1"/>
    <col min="13541" max="13790" width="9.109375" style="16" customWidth="1"/>
    <col min="13791" max="13791" width="6.109375" style="16" customWidth="1"/>
    <col min="13792" max="13792" width="79.5546875" style="16" customWidth="1"/>
    <col min="13793" max="13796" width="14.6640625" style="16" customWidth="1"/>
    <col min="13797" max="14046" width="9.109375" style="16" customWidth="1"/>
    <col min="14047" max="14047" width="6.109375" style="16" customWidth="1"/>
    <col min="14048" max="14048" width="79.5546875" style="16" customWidth="1"/>
    <col min="14049" max="14052" width="14.6640625" style="16" customWidth="1"/>
    <col min="14053" max="14302" width="9.109375" style="16" customWidth="1"/>
    <col min="14303" max="14303" width="6.109375" style="16" customWidth="1"/>
    <col min="14304" max="14304" width="79.5546875" style="16" customWidth="1"/>
    <col min="14305" max="14308" width="14.6640625" style="16" customWidth="1"/>
    <col min="14309" max="14558" width="9.109375" style="16" customWidth="1"/>
    <col min="14559" max="14559" width="6.109375" style="16" customWidth="1"/>
    <col min="14560" max="14560" width="79.5546875" style="16" customWidth="1"/>
    <col min="14561" max="14564" width="14.6640625" style="16" customWidth="1"/>
    <col min="14565" max="14814" width="9.109375" style="16" customWidth="1"/>
    <col min="14815" max="14815" width="6.109375" style="16" customWidth="1"/>
    <col min="14816" max="14816" width="79.5546875" style="16" customWidth="1"/>
    <col min="14817" max="14820" width="14.6640625" style="16" customWidth="1"/>
    <col min="14821" max="15070" width="9.109375" style="16" customWidth="1"/>
    <col min="15071" max="15071" width="6.109375" style="16" customWidth="1"/>
    <col min="15072" max="15072" width="79.5546875" style="16" customWidth="1"/>
    <col min="15073" max="15076" width="14.6640625" style="16" customWidth="1"/>
    <col min="15077" max="15326" width="9.109375" style="16" customWidth="1"/>
    <col min="15327" max="15327" width="6.109375" style="16" customWidth="1"/>
    <col min="15328" max="15328" width="79.5546875" style="16" customWidth="1"/>
    <col min="15329" max="15332" width="14.6640625" style="16" customWidth="1"/>
    <col min="15333" max="15582" width="9.109375" style="16" customWidth="1"/>
    <col min="15583" max="15583" width="6.109375" style="16" customWidth="1"/>
    <col min="15584" max="15584" width="79.5546875" style="16" customWidth="1"/>
    <col min="15585" max="15588" width="14.6640625" style="16" customWidth="1"/>
    <col min="15589" max="15838" width="9.109375" style="16" customWidth="1"/>
    <col min="15839" max="15839" width="6.109375" style="16" customWidth="1"/>
    <col min="15840" max="15840" width="79.5546875" style="16" customWidth="1"/>
    <col min="15841" max="15844" width="14.6640625" style="16" customWidth="1"/>
    <col min="15845" max="16094" width="9.109375" style="16" customWidth="1"/>
    <col min="16095" max="16095" width="6.109375" style="16" customWidth="1"/>
    <col min="16096" max="16096" width="79.5546875" style="16" customWidth="1"/>
    <col min="16097" max="16100" width="14.6640625" style="16" customWidth="1"/>
    <col min="16101" max="16384" width="9.109375" style="16" customWidth="1"/>
  </cols>
  <sheetData>
    <row r="1" spans="1:12" x14ac:dyDescent="0.3">
      <c r="A1" s="344" t="s">
        <v>492</v>
      </c>
      <c r="B1" s="399"/>
      <c r="C1" s="372"/>
      <c r="D1" s="372"/>
      <c r="E1" s="372"/>
    </row>
    <row r="2" spans="1:12" ht="13.8" customHeight="1" x14ac:dyDescent="0.3"/>
    <row r="3" spans="1:12" ht="15" customHeight="1" x14ac:dyDescent="0.3">
      <c r="A3" s="400" t="s">
        <v>493</v>
      </c>
      <c r="B3" s="380"/>
      <c r="C3" s="380"/>
      <c r="D3" s="380"/>
      <c r="E3" s="380"/>
      <c r="F3" s="380"/>
      <c r="G3" s="380"/>
      <c r="H3" s="380"/>
      <c r="I3" s="380"/>
      <c r="J3" s="380"/>
      <c r="K3" s="380"/>
      <c r="L3" s="380"/>
    </row>
    <row r="4" spans="1:12" s="281" customFormat="1" ht="13.8" customHeight="1" x14ac:dyDescent="0.3">
      <c r="A4" s="401" t="s">
        <v>494</v>
      </c>
      <c r="B4" s="401" t="s">
        <v>495</v>
      </c>
      <c r="C4" s="403" t="s">
        <v>360</v>
      </c>
      <c r="D4" s="324"/>
      <c r="E4" s="324"/>
      <c r="F4" s="335"/>
    </row>
    <row r="5" spans="1:12" s="281" customFormat="1" ht="24" customHeight="1" x14ac:dyDescent="0.3">
      <c r="A5" s="350"/>
      <c r="B5" s="350"/>
      <c r="C5" s="253" t="s">
        <v>361</v>
      </c>
      <c r="D5" s="253" t="s">
        <v>362</v>
      </c>
      <c r="E5" s="253" t="s">
        <v>363</v>
      </c>
      <c r="F5" s="253" t="s">
        <v>364</v>
      </c>
    </row>
    <row r="6" spans="1:12" ht="14.4" customHeight="1" x14ac:dyDescent="0.3">
      <c r="A6" s="404" t="s">
        <v>421</v>
      </c>
      <c r="B6" s="324"/>
      <c r="C6" s="324"/>
      <c r="D6" s="324"/>
      <c r="E6" s="324"/>
      <c r="F6" s="335"/>
      <c r="G6" s="16"/>
      <c r="H6" s="16"/>
      <c r="I6" s="16"/>
      <c r="J6" s="16"/>
      <c r="K6" s="16"/>
      <c r="L6" s="16"/>
    </row>
    <row r="7" spans="1:12" x14ac:dyDescent="0.3">
      <c r="A7" s="369" t="s">
        <v>422</v>
      </c>
      <c r="B7" s="335"/>
      <c r="C7" s="121"/>
      <c r="D7" s="121"/>
      <c r="E7" s="121"/>
      <c r="F7" s="121"/>
      <c r="G7" s="16"/>
      <c r="H7" s="16"/>
      <c r="I7" s="16"/>
      <c r="J7" s="16"/>
      <c r="K7" s="16"/>
      <c r="L7" s="16"/>
    </row>
    <row r="8" spans="1:12" ht="24" customHeight="1" x14ac:dyDescent="0.3">
      <c r="A8" s="18">
        <v>1</v>
      </c>
      <c r="B8" s="8" t="s">
        <v>423</v>
      </c>
      <c r="C8" s="120">
        <v>0</v>
      </c>
      <c r="D8" s="120">
        <v>0</v>
      </c>
      <c r="E8" s="120">
        <v>0</v>
      </c>
      <c r="F8" s="120">
        <v>0</v>
      </c>
      <c r="G8" s="16"/>
      <c r="H8" s="16"/>
      <c r="I8" s="16"/>
      <c r="J8" s="16"/>
      <c r="K8" s="16"/>
      <c r="L8" s="16"/>
    </row>
    <row r="9" spans="1:12" x14ac:dyDescent="0.3">
      <c r="A9" s="5">
        <v>2</v>
      </c>
      <c r="B9" s="8" t="s">
        <v>496</v>
      </c>
      <c r="C9" s="152">
        <f>C10+C11</f>
        <v>0</v>
      </c>
      <c r="D9" s="152">
        <f>D10+D11</f>
        <v>0</v>
      </c>
      <c r="E9" s="152">
        <f>E10+E11</f>
        <v>0</v>
      </c>
      <c r="F9" s="152">
        <f>F10+F11</f>
        <v>0</v>
      </c>
      <c r="G9" s="16"/>
      <c r="H9" s="16"/>
      <c r="I9" s="16"/>
      <c r="J9" s="16"/>
      <c r="K9" s="16"/>
      <c r="L9" s="16"/>
    </row>
    <row r="10" spans="1:12" x14ac:dyDescent="0.3">
      <c r="A10" s="5" t="s">
        <v>497</v>
      </c>
      <c r="B10" s="8" t="s">
        <v>498</v>
      </c>
      <c r="C10" s="120">
        <v>0</v>
      </c>
      <c r="D10" s="120">
        <v>0</v>
      </c>
      <c r="E10" s="120">
        <v>0</v>
      </c>
      <c r="F10" s="120">
        <v>0</v>
      </c>
      <c r="G10" s="16"/>
      <c r="H10" s="16"/>
      <c r="I10" s="16"/>
      <c r="J10" s="16"/>
      <c r="K10" s="16"/>
      <c r="L10" s="16"/>
    </row>
    <row r="11" spans="1:12" ht="24" customHeight="1" x14ac:dyDescent="0.3">
      <c r="A11" s="5" t="s">
        <v>499</v>
      </c>
      <c r="B11" s="8" t="s">
        <v>500</v>
      </c>
      <c r="C11" s="120">
        <v>0</v>
      </c>
      <c r="D11" s="120">
        <v>0</v>
      </c>
      <c r="E11" s="120">
        <v>0</v>
      </c>
      <c r="F11" s="120">
        <v>0</v>
      </c>
      <c r="G11" s="16"/>
      <c r="H11" s="16"/>
      <c r="I11" s="16"/>
      <c r="J11" s="16"/>
      <c r="K11" s="16"/>
      <c r="L11" s="16"/>
    </row>
    <row r="12" spans="1:12" x14ac:dyDescent="0.3">
      <c r="A12" s="5">
        <v>3</v>
      </c>
      <c r="B12" s="8" t="s">
        <v>501</v>
      </c>
      <c r="C12" s="120">
        <v>0</v>
      </c>
      <c r="D12" s="120">
        <v>0</v>
      </c>
      <c r="E12" s="120">
        <v>0</v>
      </c>
      <c r="F12" s="120">
        <v>0</v>
      </c>
      <c r="G12" s="16"/>
      <c r="H12" s="16"/>
      <c r="I12" s="16"/>
      <c r="J12" s="16"/>
      <c r="K12" s="16"/>
      <c r="L12" s="16"/>
    </row>
    <row r="13" spans="1:12" x14ac:dyDescent="0.3">
      <c r="A13" s="5">
        <v>4</v>
      </c>
      <c r="B13" s="8" t="s">
        <v>425</v>
      </c>
      <c r="C13" s="120">
        <f>'2A-Buget_cerere'!C29</f>
        <v>261899.67999999993</v>
      </c>
      <c r="D13" s="120">
        <v>0</v>
      </c>
      <c r="E13" s="120">
        <v>0</v>
      </c>
      <c r="F13" s="120">
        <v>0</v>
      </c>
      <c r="G13" s="16"/>
      <c r="H13" s="16"/>
      <c r="I13" s="16"/>
      <c r="J13" s="16"/>
      <c r="K13" s="16"/>
      <c r="L13" s="16"/>
    </row>
    <row r="14" spans="1:12" x14ac:dyDescent="0.3">
      <c r="A14" s="402" t="s">
        <v>502</v>
      </c>
      <c r="B14" s="335"/>
      <c r="C14" s="153">
        <f>C8+C9+C12+C13</f>
        <v>261899.67999999993</v>
      </c>
      <c r="D14" s="153">
        <f>D8+D9+D12+D13</f>
        <v>0</v>
      </c>
      <c r="E14" s="153">
        <f>E8+E9+E12+E13</f>
        <v>0</v>
      </c>
      <c r="F14" s="153">
        <f>F8+F9+F12+F13</f>
        <v>0</v>
      </c>
      <c r="G14" s="16"/>
      <c r="H14" s="16"/>
      <c r="I14" s="16"/>
      <c r="J14" s="16"/>
      <c r="K14" s="16"/>
      <c r="L14" s="16"/>
    </row>
    <row r="15" spans="1:12" x14ac:dyDescent="0.3">
      <c r="A15" s="369" t="s">
        <v>427</v>
      </c>
      <c r="B15" s="335"/>
      <c r="C15" s="153"/>
      <c r="D15" s="153"/>
      <c r="E15" s="153"/>
      <c r="F15" s="153"/>
      <c r="G15" s="16"/>
      <c r="H15" s="16"/>
      <c r="I15" s="16"/>
      <c r="J15" s="16"/>
      <c r="K15" s="16"/>
      <c r="L15" s="16"/>
    </row>
    <row r="16" spans="1:12" x14ac:dyDescent="0.3">
      <c r="A16" s="5">
        <v>5</v>
      </c>
      <c r="B16" s="8" t="s">
        <v>503</v>
      </c>
      <c r="C16" s="152">
        <f>C17+C18</f>
        <v>0</v>
      </c>
      <c r="D16" s="152">
        <f>D17+D18</f>
        <v>0</v>
      </c>
      <c r="E16" s="152">
        <f>E17+E18</f>
        <v>0</v>
      </c>
      <c r="F16" s="152">
        <f>F17+F18</f>
        <v>0</v>
      </c>
      <c r="G16" s="16"/>
      <c r="H16" s="16"/>
      <c r="I16" s="16"/>
      <c r="J16" s="16"/>
      <c r="K16" s="16"/>
      <c r="L16" s="16"/>
    </row>
    <row r="17" spans="1:14" x14ac:dyDescent="0.3">
      <c r="A17" s="5">
        <v>5.0999999999999996</v>
      </c>
      <c r="B17" s="300" t="s">
        <v>504</v>
      </c>
      <c r="C17" s="120">
        <v>0</v>
      </c>
      <c r="D17" s="120">
        <v>0</v>
      </c>
      <c r="E17" s="120">
        <v>0</v>
      </c>
      <c r="F17" s="120">
        <v>0</v>
      </c>
      <c r="G17" s="16"/>
      <c r="H17" s="160"/>
      <c r="I17" s="160"/>
      <c r="J17" s="160"/>
      <c r="K17" s="160"/>
      <c r="L17" s="160"/>
      <c r="M17" s="160"/>
      <c r="N17" s="160"/>
    </row>
    <row r="18" spans="1:14" ht="24" customHeight="1" x14ac:dyDescent="0.3">
      <c r="A18" s="5">
        <v>5.2</v>
      </c>
      <c r="B18" s="300" t="s">
        <v>505</v>
      </c>
      <c r="C18" s="120">
        <v>0</v>
      </c>
      <c r="D18" s="120">
        <v>0</v>
      </c>
      <c r="E18" s="120">
        <v>0</v>
      </c>
      <c r="F18" s="120">
        <v>0</v>
      </c>
      <c r="G18" s="16"/>
      <c r="H18" s="16"/>
      <c r="I18" s="16"/>
      <c r="J18" s="16"/>
      <c r="K18" s="16"/>
      <c r="L18" s="16"/>
    </row>
    <row r="19" spans="1:14" x14ac:dyDescent="0.3">
      <c r="A19" s="5">
        <v>6</v>
      </c>
      <c r="B19" s="300" t="s">
        <v>506</v>
      </c>
      <c r="C19" s="120">
        <v>0</v>
      </c>
      <c r="D19" s="120">
        <v>0</v>
      </c>
      <c r="E19" s="120">
        <v>0</v>
      </c>
      <c r="F19" s="120">
        <v>0</v>
      </c>
      <c r="G19" s="16"/>
      <c r="H19" s="16"/>
      <c r="I19" s="16"/>
      <c r="J19" s="16"/>
      <c r="K19" s="16"/>
      <c r="L19" s="16"/>
    </row>
    <row r="20" spans="1:14" x14ac:dyDescent="0.3">
      <c r="A20" s="5">
        <v>7</v>
      </c>
      <c r="B20" s="8" t="s">
        <v>507</v>
      </c>
      <c r="C20" s="120">
        <v>0</v>
      </c>
      <c r="D20" s="120">
        <v>0</v>
      </c>
      <c r="E20" s="120">
        <v>0</v>
      </c>
      <c r="F20" s="120">
        <v>0</v>
      </c>
      <c r="G20" s="16"/>
      <c r="H20" s="16"/>
      <c r="I20" s="16"/>
      <c r="J20" s="16"/>
      <c r="K20" s="16"/>
      <c r="L20" s="16"/>
    </row>
    <row r="21" spans="1:14" s="19" customFormat="1" x14ac:dyDescent="0.3">
      <c r="A21" s="402" t="s">
        <v>508</v>
      </c>
      <c r="B21" s="335"/>
      <c r="C21" s="153">
        <f>C16+C20+C19</f>
        <v>0</v>
      </c>
      <c r="D21" s="153">
        <f>D16+D20+D19</f>
        <v>0</v>
      </c>
      <c r="E21" s="153">
        <f>E16+E20+E19</f>
        <v>0</v>
      </c>
      <c r="F21" s="153">
        <f>F16+F20+F19</f>
        <v>0</v>
      </c>
    </row>
    <row r="22" spans="1:14" s="19" customFormat="1" x14ac:dyDescent="0.3">
      <c r="A22" s="402" t="s">
        <v>509</v>
      </c>
      <c r="B22" s="335"/>
      <c r="C22" s="153">
        <f>C14-C21</f>
        <v>261899.67999999993</v>
      </c>
      <c r="D22" s="153">
        <f>D14-D21</f>
        <v>0</v>
      </c>
      <c r="E22" s="153">
        <f>E14-E21</f>
        <v>0</v>
      </c>
      <c r="F22" s="153">
        <f>F14-F21</f>
        <v>0</v>
      </c>
    </row>
    <row r="23" spans="1:14" ht="14.4" customHeight="1" x14ac:dyDescent="0.3">
      <c r="A23" s="368" t="s">
        <v>510</v>
      </c>
      <c r="B23" s="324"/>
      <c r="C23" s="324"/>
      <c r="D23" s="324"/>
      <c r="E23" s="324"/>
      <c r="F23" s="335"/>
      <c r="G23" s="16"/>
      <c r="H23" s="16"/>
      <c r="I23" s="16"/>
      <c r="J23" s="16"/>
      <c r="K23" s="16"/>
      <c r="L23" s="16"/>
    </row>
    <row r="24" spans="1:14" x14ac:dyDescent="0.3">
      <c r="A24" s="369" t="s">
        <v>511</v>
      </c>
      <c r="B24" s="335"/>
      <c r="C24" s="121"/>
      <c r="D24" s="121"/>
      <c r="E24" s="121"/>
      <c r="F24" s="121"/>
      <c r="G24" s="16"/>
      <c r="H24" s="16"/>
      <c r="I24" s="16"/>
      <c r="J24" s="16"/>
      <c r="K24" s="16"/>
      <c r="L24" s="16"/>
    </row>
    <row r="25" spans="1:14" x14ac:dyDescent="0.3">
      <c r="A25" s="5">
        <v>8</v>
      </c>
      <c r="B25" s="8" t="s">
        <v>512</v>
      </c>
      <c r="C25" s="120">
        <v>0</v>
      </c>
      <c r="D25" s="120">
        <v>0</v>
      </c>
      <c r="E25" s="120">
        <v>0</v>
      </c>
      <c r="F25" s="120">
        <v>0</v>
      </c>
      <c r="G25" s="16"/>
      <c r="H25" s="16"/>
      <c r="I25" s="16"/>
      <c r="J25" s="16"/>
      <c r="K25" s="16"/>
      <c r="L25" s="16"/>
    </row>
    <row r="26" spans="1:14" x14ac:dyDescent="0.3">
      <c r="A26" s="402" t="s">
        <v>513</v>
      </c>
      <c r="B26" s="335"/>
      <c r="C26" s="121">
        <f>C25</f>
        <v>0</v>
      </c>
      <c r="D26" s="121">
        <f>D25</f>
        <v>0</v>
      </c>
      <c r="E26" s="121">
        <f>E25</f>
        <v>0</v>
      </c>
      <c r="F26" s="121">
        <f>F25</f>
        <v>0</v>
      </c>
      <c r="G26" s="16"/>
      <c r="H26" s="16"/>
      <c r="I26" s="16"/>
      <c r="J26" s="16"/>
      <c r="K26" s="16"/>
      <c r="L26" s="16"/>
    </row>
    <row r="27" spans="1:14" ht="27.75" customHeight="1" x14ac:dyDescent="0.3">
      <c r="A27" s="368" t="s">
        <v>514</v>
      </c>
      <c r="B27" s="335"/>
      <c r="C27" s="121"/>
      <c r="D27" s="121"/>
      <c r="E27" s="121"/>
      <c r="F27" s="121"/>
      <c r="G27" s="16"/>
      <c r="H27" s="16"/>
      <c r="I27" s="16"/>
      <c r="J27" s="16"/>
      <c r="K27" s="16"/>
      <c r="L27" s="16"/>
    </row>
    <row r="28" spans="1:14" x14ac:dyDescent="0.3">
      <c r="A28" s="5">
        <v>9</v>
      </c>
      <c r="B28" s="8" t="s">
        <v>433</v>
      </c>
      <c r="C28" s="120">
        <f>'2A-Buget_cerere'!C23</f>
        <v>566655.67999999993</v>
      </c>
      <c r="D28" s="120">
        <v>0</v>
      </c>
      <c r="E28" s="120">
        <v>0</v>
      </c>
      <c r="F28" s="120">
        <v>0</v>
      </c>
      <c r="G28" s="16"/>
      <c r="H28" s="16"/>
      <c r="I28" s="16"/>
      <c r="J28" s="16"/>
      <c r="K28" s="16"/>
      <c r="L28" s="16"/>
    </row>
    <row r="29" spans="1:14" x14ac:dyDescent="0.3">
      <c r="A29" s="5">
        <v>10</v>
      </c>
      <c r="B29" s="8" t="s">
        <v>434</v>
      </c>
      <c r="C29" s="120">
        <v>0</v>
      </c>
      <c r="D29" s="120">
        <v>0</v>
      </c>
      <c r="E29" s="120">
        <v>0</v>
      </c>
      <c r="F29" s="120">
        <v>0</v>
      </c>
      <c r="G29" s="16"/>
      <c r="H29" s="16"/>
      <c r="I29" s="16"/>
      <c r="J29" s="16"/>
      <c r="K29" s="16"/>
      <c r="L29" s="16"/>
    </row>
    <row r="30" spans="1:14" x14ac:dyDescent="0.3">
      <c r="A30" s="5">
        <v>11</v>
      </c>
      <c r="B30" s="8" t="s">
        <v>515</v>
      </c>
      <c r="C30" s="120">
        <v>0</v>
      </c>
      <c r="D30" s="120">
        <v>0</v>
      </c>
      <c r="E30" s="120">
        <v>0</v>
      </c>
      <c r="F30" s="120">
        <v>0</v>
      </c>
      <c r="G30" s="16"/>
      <c r="H30" s="16"/>
      <c r="I30" s="16"/>
      <c r="J30" s="16"/>
      <c r="K30" s="16"/>
      <c r="L30" s="16"/>
    </row>
    <row r="31" spans="1:14" x14ac:dyDescent="0.3">
      <c r="A31" s="402" t="s">
        <v>516</v>
      </c>
      <c r="B31" s="335"/>
      <c r="C31" s="153">
        <f>SUM(C28:C30)</f>
        <v>566655.67999999993</v>
      </c>
      <c r="D31" s="153">
        <f>SUM(D28:D30)</f>
        <v>0</v>
      </c>
      <c r="E31" s="153">
        <f>SUM(E28:E30)</f>
        <v>0</v>
      </c>
      <c r="F31" s="153">
        <f>SUM(F28:F30)</f>
        <v>0</v>
      </c>
      <c r="G31" s="16"/>
      <c r="H31" s="16"/>
      <c r="I31" s="16"/>
      <c r="J31" s="16"/>
      <c r="K31" s="16"/>
      <c r="L31" s="16"/>
    </row>
    <row r="32" spans="1:14" x14ac:dyDescent="0.3">
      <c r="A32" s="402" t="s">
        <v>517</v>
      </c>
      <c r="B32" s="335"/>
      <c r="C32" s="153">
        <f>C26-C31</f>
        <v>-566655.67999999993</v>
      </c>
      <c r="D32" s="153">
        <f>D26-D31</f>
        <v>0</v>
      </c>
      <c r="E32" s="153">
        <f>E26-E31</f>
        <v>0</v>
      </c>
      <c r="F32" s="153">
        <f>F26-F31</f>
        <v>0</v>
      </c>
      <c r="G32" s="16"/>
      <c r="H32" s="16"/>
      <c r="I32" s="16"/>
      <c r="J32" s="16"/>
      <c r="K32" s="16"/>
      <c r="L32" s="16"/>
    </row>
    <row r="33" spans="1:12" x14ac:dyDescent="0.3">
      <c r="A33" s="402" t="s">
        <v>518</v>
      </c>
      <c r="B33" s="335"/>
      <c r="C33" s="153">
        <f>C32+C22</f>
        <v>-304756</v>
      </c>
      <c r="D33" s="153">
        <f>D32+D22</f>
        <v>0</v>
      </c>
      <c r="E33" s="153">
        <f>E32+E22</f>
        <v>0</v>
      </c>
      <c r="F33" s="153">
        <f>F32+F22</f>
        <v>0</v>
      </c>
      <c r="G33" s="16"/>
      <c r="H33" s="16"/>
      <c r="I33" s="16"/>
      <c r="J33" s="16"/>
      <c r="K33" s="16"/>
      <c r="L33" s="16"/>
    </row>
    <row r="34" spans="1:12" ht="14.4" customHeight="1" x14ac:dyDescent="0.3">
      <c r="A34" s="368" t="s">
        <v>441</v>
      </c>
      <c r="B34" s="324"/>
      <c r="C34" s="324"/>
      <c r="D34" s="324"/>
      <c r="E34" s="324"/>
      <c r="F34" s="335"/>
      <c r="G34" s="16"/>
      <c r="H34" s="16"/>
      <c r="I34" s="16"/>
      <c r="J34" s="16"/>
      <c r="K34" s="16"/>
      <c r="L34" s="16"/>
    </row>
    <row r="35" spans="1:12" x14ac:dyDescent="0.3">
      <c r="A35" s="5"/>
      <c r="B35" s="293" t="s">
        <v>519</v>
      </c>
      <c r="C35" s="153"/>
      <c r="D35" s="153"/>
      <c r="E35" s="153"/>
      <c r="F35" s="153"/>
      <c r="G35" s="16"/>
      <c r="H35" s="16"/>
      <c r="I35" s="16"/>
      <c r="J35" s="16"/>
      <c r="K35" s="16"/>
      <c r="L35" s="16"/>
    </row>
    <row r="36" spans="1:12" x14ac:dyDescent="0.3">
      <c r="A36" s="22">
        <v>11</v>
      </c>
      <c r="B36" s="23" t="s">
        <v>520</v>
      </c>
      <c r="C36" s="122">
        <f>C37+C40+C43+C46+C49+C52</f>
        <v>0</v>
      </c>
      <c r="D36" s="122">
        <f>D37+D40+D43+D46+D49+D52</f>
        <v>0</v>
      </c>
      <c r="E36" s="122">
        <f>E37+E40+E43+E46+E49+E52</f>
        <v>0</v>
      </c>
      <c r="F36" s="122">
        <f>F37+F40+F43+F46+F49+F52</f>
        <v>0</v>
      </c>
      <c r="G36" s="16"/>
      <c r="H36" s="16"/>
      <c r="I36" s="16"/>
      <c r="J36" s="16"/>
      <c r="K36" s="16"/>
      <c r="L36" s="16"/>
    </row>
    <row r="37" spans="1:12" x14ac:dyDescent="0.3">
      <c r="A37" s="22">
        <v>11.1</v>
      </c>
      <c r="B37" s="23" t="s">
        <v>367</v>
      </c>
      <c r="C37" s="214">
        <f>C38+C39</f>
        <v>0</v>
      </c>
      <c r="D37" s="214">
        <f>D38+D39</f>
        <v>0</v>
      </c>
      <c r="E37" s="214">
        <f>E38+E39</f>
        <v>0</v>
      </c>
      <c r="F37" s="214">
        <f>F38+F39</f>
        <v>0</v>
      </c>
      <c r="G37" s="16"/>
      <c r="H37" s="16"/>
      <c r="I37" s="16"/>
      <c r="J37" s="16"/>
      <c r="K37" s="16"/>
      <c r="L37" s="16"/>
    </row>
    <row r="38" spans="1:12" x14ac:dyDescent="0.3">
      <c r="A38" s="22"/>
      <c r="B38" s="215" t="s">
        <v>521</v>
      </c>
      <c r="C38" s="120">
        <v>0</v>
      </c>
      <c r="D38" s="120">
        <v>0</v>
      </c>
      <c r="E38" s="120">
        <v>0</v>
      </c>
      <c r="F38" s="120">
        <v>0</v>
      </c>
      <c r="G38" s="16"/>
      <c r="H38" s="16"/>
      <c r="I38" s="16"/>
      <c r="J38" s="16"/>
      <c r="K38" s="16"/>
      <c r="L38" s="16"/>
    </row>
    <row r="39" spans="1:12" x14ac:dyDescent="0.3">
      <c r="A39" s="22"/>
      <c r="B39" s="215" t="s">
        <v>522</v>
      </c>
      <c r="C39" s="120">
        <v>0</v>
      </c>
      <c r="D39" s="120">
        <v>0</v>
      </c>
      <c r="E39" s="120">
        <v>0</v>
      </c>
      <c r="F39" s="120">
        <v>0</v>
      </c>
      <c r="G39" s="16"/>
      <c r="H39" s="16"/>
      <c r="I39" s="16"/>
      <c r="J39" s="16"/>
      <c r="K39" s="16"/>
      <c r="L39" s="16"/>
    </row>
    <row r="40" spans="1:12" x14ac:dyDescent="0.3">
      <c r="A40" s="22" t="s">
        <v>523</v>
      </c>
      <c r="B40" s="23" t="s">
        <v>370</v>
      </c>
      <c r="C40" s="214">
        <f>C41+C42</f>
        <v>0</v>
      </c>
      <c r="D40" s="214">
        <f>D41+D42</f>
        <v>0</v>
      </c>
      <c r="E40" s="214">
        <f>E41+E42</f>
        <v>0</v>
      </c>
      <c r="F40" s="214">
        <f>F41+F42</f>
        <v>0</v>
      </c>
      <c r="G40" s="16"/>
      <c r="H40" s="16"/>
      <c r="I40" s="16"/>
      <c r="J40" s="16"/>
      <c r="K40" s="16"/>
      <c r="L40" s="16"/>
    </row>
    <row r="41" spans="1:12" x14ac:dyDescent="0.3">
      <c r="A41" s="22"/>
      <c r="B41" s="215" t="s">
        <v>524</v>
      </c>
      <c r="C41" s="120">
        <f>'3A-Proiectii_fin_investitie'!D68/1.19</f>
        <v>0</v>
      </c>
      <c r="D41" s="120">
        <f>'3A-Proiectii_fin_investitie'!E68/1.19</f>
        <v>0</v>
      </c>
      <c r="E41" s="120">
        <f>'3A-Proiectii_fin_investitie'!F68/1.19</f>
        <v>0</v>
      </c>
      <c r="F41" s="120">
        <f>'3A-Proiectii_fin_investitie'!G68/1.19</f>
        <v>0</v>
      </c>
      <c r="G41" s="16"/>
      <c r="H41" s="16"/>
      <c r="I41" s="16"/>
      <c r="J41" s="16"/>
      <c r="K41" s="16"/>
      <c r="L41" s="16"/>
    </row>
    <row r="42" spans="1:12" x14ac:dyDescent="0.3">
      <c r="A42" s="22"/>
      <c r="B42" s="215" t="s">
        <v>525</v>
      </c>
      <c r="C42" s="120">
        <f>C41*0.19</f>
        <v>0</v>
      </c>
      <c r="D42" s="120">
        <f>D41*0.19</f>
        <v>0</v>
      </c>
      <c r="E42" s="120">
        <f>E41*0.19</f>
        <v>0</v>
      </c>
      <c r="F42" s="120">
        <f>F41*0.19</f>
        <v>0</v>
      </c>
      <c r="G42" s="16"/>
      <c r="H42" s="16"/>
      <c r="I42" s="16"/>
      <c r="J42" s="16"/>
      <c r="K42" s="16"/>
      <c r="L42" s="16"/>
    </row>
    <row r="43" spans="1:12" x14ac:dyDescent="0.3">
      <c r="A43" s="22" t="s">
        <v>526</v>
      </c>
      <c r="B43" s="23" t="s">
        <v>373</v>
      </c>
      <c r="C43" s="214">
        <f>C44+C45</f>
        <v>0</v>
      </c>
      <c r="D43" s="214">
        <f>D44+D45</f>
        <v>0</v>
      </c>
      <c r="E43" s="214">
        <f>E44+E45</f>
        <v>0</v>
      </c>
      <c r="F43" s="214">
        <f>F44+F45</f>
        <v>0</v>
      </c>
      <c r="G43" s="16"/>
      <c r="H43" s="16"/>
      <c r="I43" s="16"/>
      <c r="J43" s="16"/>
      <c r="K43" s="16"/>
      <c r="L43" s="16"/>
    </row>
    <row r="44" spans="1:12" x14ac:dyDescent="0.3">
      <c r="A44" s="22"/>
      <c r="B44" s="215" t="s">
        <v>527</v>
      </c>
      <c r="C44" s="120">
        <v>0</v>
      </c>
      <c r="D44" s="120">
        <v>0</v>
      </c>
      <c r="E44" s="120">
        <v>0</v>
      </c>
      <c r="F44" s="120">
        <v>0</v>
      </c>
      <c r="G44" s="16"/>
      <c r="H44" s="16"/>
      <c r="I44" s="16"/>
      <c r="J44" s="16"/>
      <c r="K44" s="16"/>
      <c r="L44" s="16"/>
    </row>
    <row r="45" spans="1:12" x14ac:dyDescent="0.3">
      <c r="A45" s="22"/>
      <c r="B45" s="215" t="s">
        <v>528</v>
      </c>
      <c r="C45" s="120">
        <v>0</v>
      </c>
      <c r="D45" s="120">
        <v>0</v>
      </c>
      <c r="E45" s="120">
        <v>0</v>
      </c>
      <c r="F45" s="120">
        <v>0</v>
      </c>
      <c r="G45" s="16"/>
      <c r="H45" s="16"/>
      <c r="I45" s="16"/>
      <c r="J45" s="16"/>
      <c r="K45" s="16"/>
      <c r="L45" s="16"/>
    </row>
    <row r="46" spans="1:12" ht="24" customHeight="1" x14ac:dyDescent="0.3">
      <c r="A46" s="22" t="s">
        <v>529</v>
      </c>
      <c r="B46" s="23" t="s">
        <v>530</v>
      </c>
      <c r="C46" s="214">
        <f>C47+C48</f>
        <v>0</v>
      </c>
      <c r="D46" s="214">
        <f>D47+D48</f>
        <v>0</v>
      </c>
      <c r="E46" s="214">
        <f>E47+E48</f>
        <v>0</v>
      </c>
      <c r="F46" s="214">
        <f>F47+F48</f>
        <v>0</v>
      </c>
      <c r="G46" s="16"/>
      <c r="H46" s="16"/>
      <c r="I46" s="16"/>
      <c r="J46" s="16"/>
      <c r="K46" s="16"/>
      <c r="L46" s="16"/>
    </row>
    <row r="47" spans="1:12" ht="24" customHeight="1" x14ac:dyDescent="0.3">
      <c r="A47" s="22"/>
      <c r="B47" s="215" t="s">
        <v>531</v>
      </c>
      <c r="C47" s="120">
        <v>0</v>
      </c>
      <c r="D47" s="120">
        <v>0</v>
      </c>
      <c r="E47" s="120">
        <v>0</v>
      </c>
      <c r="F47" s="120">
        <v>0</v>
      </c>
      <c r="G47" s="16"/>
      <c r="H47" s="16"/>
      <c r="I47" s="16"/>
      <c r="J47" s="16"/>
      <c r="K47" s="16"/>
      <c r="L47" s="16"/>
    </row>
    <row r="48" spans="1:12" ht="24" customHeight="1" x14ac:dyDescent="0.3">
      <c r="A48" s="22"/>
      <c r="B48" s="215" t="s">
        <v>532</v>
      </c>
      <c r="C48" s="120">
        <v>0</v>
      </c>
      <c r="D48" s="120">
        <v>0</v>
      </c>
      <c r="E48" s="120">
        <v>0</v>
      </c>
      <c r="F48" s="120">
        <v>0</v>
      </c>
      <c r="G48" s="16"/>
      <c r="H48" s="16"/>
      <c r="I48" s="16"/>
      <c r="J48" s="16"/>
      <c r="K48" s="16"/>
      <c r="L48" s="16"/>
    </row>
    <row r="49" spans="1:12" x14ac:dyDescent="0.3">
      <c r="A49" s="22" t="s">
        <v>533</v>
      </c>
      <c r="B49" s="23" t="s">
        <v>534</v>
      </c>
      <c r="C49" s="214">
        <f>C50+C51</f>
        <v>0</v>
      </c>
      <c r="D49" s="214">
        <f>D50+D51</f>
        <v>0</v>
      </c>
      <c r="E49" s="214">
        <f>E50+E51</f>
        <v>0</v>
      </c>
      <c r="F49" s="214">
        <f>F50+F51</f>
        <v>0</v>
      </c>
      <c r="G49" s="16"/>
      <c r="H49" s="16"/>
      <c r="I49" s="16"/>
      <c r="J49" s="16"/>
      <c r="K49" s="16"/>
      <c r="L49" s="16"/>
    </row>
    <row r="50" spans="1:12" x14ac:dyDescent="0.3">
      <c r="A50" s="22"/>
      <c r="B50" s="215" t="s">
        <v>535</v>
      </c>
      <c r="C50" s="120">
        <v>0</v>
      </c>
      <c r="D50" s="120">
        <v>0</v>
      </c>
      <c r="E50" s="120">
        <v>0</v>
      </c>
      <c r="F50" s="120">
        <v>0</v>
      </c>
      <c r="G50" s="16"/>
      <c r="H50" s="16"/>
      <c r="I50" s="16"/>
      <c r="J50" s="16"/>
      <c r="K50" s="16"/>
      <c r="L50" s="16"/>
    </row>
    <row r="51" spans="1:12" x14ac:dyDescent="0.3">
      <c r="A51" s="22"/>
      <c r="B51" s="215" t="s">
        <v>536</v>
      </c>
      <c r="C51" s="120">
        <v>0</v>
      </c>
      <c r="D51" s="120">
        <v>0</v>
      </c>
      <c r="E51" s="120">
        <v>0</v>
      </c>
      <c r="F51" s="120">
        <v>0</v>
      </c>
      <c r="G51" s="16"/>
      <c r="H51" s="16"/>
      <c r="I51" s="16"/>
      <c r="J51" s="16"/>
      <c r="K51" s="16"/>
      <c r="L51" s="16"/>
    </row>
    <row r="52" spans="1:12" s="19" customFormat="1" x14ac:dyDescent="0.3">
      <c r="A52" s="20" t="s">
        <v>537</v>
      </c>
      <c r="B52" s="23" t="s">
        <v>90</v>
      </c>
      <c r="C52" s="154">
        <f>C53+C54</f>
        <v>0</v>
      </c>
      <c r="D52" s="154">
        <f>D53+D54</f>
        <v>0</v>
      </c>
      <c r="E52" s="154">
        <f>E53+E54</f>
        <v>0</v>
      </c>
      <c r="F52" s="154">
        <f>F53+F54</f>
        <v>0</v>
      </c>
    </row>
    <row r="53" spans="1:12" x14ac:dyDescent="0.3">
      <c r="A53" s="5"/>
      <c r="B53" s="8" t="s">
        <v>538</v>
      </c>
      <c r="C53" s="120">
        <v>0</v>
      </c>
      <c r="D53" s="120">
        <v>0</v>
      </c>
      <c r="E53" s="120">
        <v>0</v>
      </c>
      <c r="F53" s="120">
        <v>0</v>
      </c>
      <c r="G53" s="16"/>
      <c r="H53" s="16"/>
      <c r="I53" s="16"/>
      <c r="J53" s="16"/>
      <c r="K53" s="16"/>
      <c r="L53" s="16"/>
    </row>
    <row r="54" spans="1:12" x14ac:dyDescent="0.3">
      <c r="A54" s="5"/>
      <c r="B54" s="8" t="s">
        <v>539</v>
      </c>
      <c r="C54" s="120">
        <v>0</v>
      </c>
      <c r="D54" s="120">
        <v>0</v>
      </c>
      <c r="E54" s="120">
        <v>0</v>
      </c>
      <c r="F54" s="120">
        <v>0</v>
      </c>
      <c r="G54" s="16"/>
      <c r="H54" s="16"/>
      <c r="I54" s="16"/>
      <c r="J54" s="16"/>
      <c r="K54" s="16"/>
      <c r="L54" s="16"/>
    </row>
    <row r="55" spans="1:12" x14ac:dyDescent="0.3">
      <c r="A55" s="5" t="s">
        <v>540</v>
      </c>
      <c r="B55" s="14" t="s">
        <v>110</v>
      </c>
      <c r="C55" s="122">
        <f>C56+C57+C58+C59</f>
        <v>0</v>
      </c>
      <c r="D55" s="122">
        <f>D56+D57+D58+D59</f>
        <v>0</v>
      </c>
      <c r="E55" s="122">
        <f>E56+E57+E58+E59</f>
        <v>0</v>
      </c>
      <c r="F55" s="122">
        <f>F56+F57+F58+F59</f>
        <v>0</v>
      </c>
      <c r="G55" s="16"/>
      <c r="H55" s="16"/>
      <c r="I55" s="16"/>
      <c r="J55" s="16"/>
      <c r="K55" s="16"/>
      <c r="L55" s="16"/>
    </row>
    <row r="56" spans="1:12" x14ac:dyDescent="0.3">
      <c r="A56" s="5" t="s">
        <v>541</v>
      </c>
      <c r="B56" s="6" t="s">
        <v>106</v>
      </c>
      <c r="C56" s="120">
        <v>0</v>
      </c>
      <c r="D56" s="120">
        <v>0</v>
      </c>
      <c r="E56" s="120">
        <v>0</v>
      </c>
      <c r="F56" s="120">
        <v>0</v>
      </c>
      <c r="G56" s="16"/>
      <c r="H56" s="16"/>
      <c r="I56" s="16"/>
      <c r="J56" s="16"/>
      <c r="K56" s="16"/>
      <c r="L56" s="16"/>
    </row>
    <row r="57" spans="1:12" ht="24" customHeight="1" x14ac:dyDescent="0.3">
      <c r="A57" s="5" t="s">
        <v>542</v>
      </c>
      <c r="B57" s="6" t="s">
        <v>543</v>
      </c>
      <c r="C57" s="120">
        <v>0</v>
      </c>
      <c r="D57" s="120">
        <v>0</v>
      </c>
      <c r="E57" s="120">
        <v>0</v>
      </c>
      <c r="F57" s="120">
        <v>0</v>
      </c>
      <c r="G57" s="16"/>
      <c r="H57" s="16"/>
      <c r="I57" s="16"/>
      <c r="J57" s="16"/>
      <c r="K57" s="16"/>
      <c r="L57" s="16"/>
    </row>
    <row r="58" spans="1:12" x14ac:dyDescent="0.3">
      <c r="A58" s="5" t="s">
        <v>544</v>
      </c>
      <c r="B58" s="6" t="s">
        <v>545</v>
      </c>
      <c r="C58" s="120">
        <f>'1B-ContPP'!D29*1.1</f>
        <v>0</v>
      </c>
      <c r="D58" s="120">
        <f t="shared" ref="D58:F59" si="0">C58*1.1</f>
        <v>0</v>
      </c>
      <c r="E58" s="120">
        <f t="shared" si="0"/>
        <v>0</v>
      </c>
      <c r="F58" s="120">
        <f t="shared" si="0"/>
        <v>0</v>
      </c>
      <c r="G58" s="16"/>
      <c r="H58" s="16"/>
      <c r="I58" s="16"/>
      <c r="J58" s="16"/>
      <c r="K58" s="16"/>
      <c r="L58" s="16"/>
    </row>
    <row r="59" spans="1:12" ht="36" customHeight="1" x14ac:dyDescent="0.3">
      <c r="A59" s="5" t="s">
        <v>546</v>
      </c>
      <c r="B59" s="6" t="s">
        <v>547</v>
      </c>
      <c r="C59" s="120">
        <f>'1B-ContPP'!D31*1.1</f>
        <v>0</v>
      </c>
      <c r="D59" s="120">
        <f t="shared" si="0"/>
        <v>0</v>
      </c>
      <c r="E59" s="120">
        <f t="shared" si="0"/>
        <v>0</v>
      </c>
      <c r="F59" s="120">
        <f t="shared" si="0"/>
        <v>0</v>
      </c>
      <c r="G59" s="16"/>
      <c r="H59" s="16"/>
      <c r="I59" s="16"/>
      <c r="J59" s="16"/>
      <c r="K59" s="16"/>
      <c r="L59" s="16"/>
    </row>
    <row r="60" spans="1:12" s="19" customFormat="1" x14ac:dyDescent="0.3">
      <c r="A60" s="402" t="s">
        <v>548</v>
      </c>
      <c r="B60" s="335"/>
      <c r="C60" s="153">
        <f>C55+C36</f>
        <v>0</v>
      </c>
      <c r="D60" s="153">
        <f>D55+D36</f>
        <v>0</v>
      </c>
      <c r="E60" s="153">
        <f>E55+E36</f>
        <v>0</v>
      </c>
      <c r="F60" s="153">
        <f>F55+F36</f>
        <v>0</v>
      </c>
    </row>
    <row r="61" spans="1:12" x14ac:dyDescent="0.3">
      <c r="A61" s="5"/>
      <c r="B61" s="293" t="s">
        <v>445</v>
      </c>
      <c r="C61" s="121"/>
      <c r="D61" s="121"/>
      <c r="E61" s="121"/>
      <c r="F61" s="121"/>
      <c r="G61" s="16"/>
      <c r="H61" s="16"/>
      <c r="I61" s="16"/>
      <c r="J61" s="16"/>
      <c r="K61" s="16"/>
      <c r="L61" s="16"/>
    </row>
    <row r="62" spans="1:12" x14ac:dyDescent="0.3">
      <c r="A62" s="5"/>
      <c r="B62" s="14" t="s">
        <v>549</v>
      </c>
      <c r="C62" s="153">
        <f>C63+C66+C69+C72+C75+C76+C77</f>
        <v>400569.893125</v>
      </c>
      <c r="D62" s="153">
        <f>D63+D66+D69+D72+D75+D76+D77</f>
        <v>422797.83405349997</v>
      </c>
      <c r="E62" s="153">
        <f>E63+E66+E69+E72+E75+E76+E77</f>
        <v>446369.58510000008</v>
      </c>
      <c r="F62" s="153">
        <f>F63+F66+F69+F72+F75+F76+F77</f>
        <v>469941.33614650002</v>
      </c>
      <c r="G62" s="16"/>
      <c r="H62" s="16"/>
      <c r="I62" s="16"/>
      <c r="J62" s="16"/>
      <c r="K62" s="16"/>
      <c r="L62" s="16"/>
    </row>
    <row r="63" spans="1:12" s="19" customFormat="1" x14ac:dyDescent="0.3">
      <c r="A63" s="20">
        <v>13</v>
      </c>
      <c r="B63" s="21" t="s">
        <v>379</v>
      </c>
      <c r="C63" s="154">
        <f>C64+C65</f>
        <v>134381.01180000001</v>
      </c>
      <c r="D63" s="154">
        <f>D64+D65</f>
        <v>137068.632036</v>
      </c>
      <c r="E63" s="154">
        <f>E64+E65</f>
        <v>141100.06239000001</v>
      </c>
      <c r="F63" s="154">
        <f>F64+F65</f>
        <v>145131.49274400002</v>
      </c>
    </row>
    <row r="64" spans="1:12" ht="24" customHeight="1" x14ac:dyDescent="0.3">
      <c r="A64" s="5"/>
      <c r="B64" s="6" t="s">
        <v>550</v>
      </c>
      <c r="C64" s="120">
        <f>'3A-Proiectii_fin_investitie'!D77/1.19</f>
        <v>112925.22000000002</v>
      </c>
      <c r="D64" s="120">
        <f>'3A-Proiectii_fin_investitie'!E77/1.19</f>
        <v>115183.72440000001</v>
      </c>
      <c r="E64" s="120">
        <f>'3A-Proiectii_fin_investitie'!F77/1.19</f>
        <v>118571.48100000001</v>
      </c>
      <c r="F64" s="120">
        <f>'3A-Proiectii_fin_investitie'!G77/1.19</f>
        <v>121959.23760000002</v>
      </c>
      <c r="G64" s="16"/>
      <c r="H64" s="160"/>
      <c r="I64" s="160"/>
      <c r="J64" s="16"/>
      <c r="K64" s="16"/>
      <c r="L64" s="16"/>
    </row>
    <row r="65" spans="1:12" ht="24" customHeight="1" x14ac:dyDescent="0.3">
      <c r="A65" s="5"/>
      <c r="B65" s="6" t="s">
        <v>551</v>
      </c>
      <c r="C65" s="120">
        <f>C64*0.19</f>
        <v>21455.791800000003</v>
      </c>
      <c r="D65" s="120">
        <f>D64*0.19</f>
        <v>21884.907636</v>
      </c>
      <c r="E65" s="120">
        <f>E64*0.19</f>
        <v>22528.581390000003</v>
      </c>
      <c r="F65" s="120">
        <f>F64*0.19</f>
        <v>23172.255144000006</v>
      </c>
      <c r="G65" s="16"/>
      <c r="H65" s="16"/>
      <c r="I65" s="16"/>
      <c r="J65" s="16"/>
      <c r="K65" s="16"/>
      <c r="L65" s="16"/>
    </row>
    <row r="66" spans="1:12" s="19" customFormat="1" x14ac:dyDescent="0.3">
      <c r="A66" s="20">
        <v>14</v>
      </c>
      <c r="B66" s="21" t="s">
        <v>93</v>
      </c>
      <c r="C66" s="154">
        <f>C67+C68</f>
        <v>88482.093000000008</v>
      </c>
      <c r="D66" s="154">
        <f>D67+D68</f>
        <v>90251.734860000011</v>
      </c>
      <c r="E66" s="154">
        <f>E67+E68</f>
        <v>92021.376720000029</v>
      </c>
      <c r="F66" s="154">
        <f>F67+F68</f>
        <v>93791.018580000018</v>
      </c>
    </row>
    <row r="67" spans="1:12" x14ac:dyDescent="0.3">
      <c r="A67" s="5"/>
      <c r="B67" s="6" t="s">
        <v>552</v>
      </c>
      <c r="C67" s="120">
        <f>'3A-Proiectii_fin_investitie'!D85/1.19</f>
        <v>74354.700000000012</v>
      </c>
      <c r="D67" s="120">
        <f>'3A-Proiectii_fin_investitie'!E85/1.19</f>
        <v>75841.794000000009</v>
      </c>
      <c r="E67" s="120">
        <f>'3A-Proiectii_fin_investitie'!F85/1.19</f>
        <v>77328.888000000021</v>
      </c>
      <c r="F67" s="120">
        <f>'3A-Proiectii_fin_investitie'!G85/1.19</f>
        <v>78815.982000000018</v>
      </c>
      <c r="G67" s="16"/>
      <c r="H67" s="16"/>
      <c r="I67" s="16"/>
      <c r="J67" s="16"/>
      <c r="K67" s="16"/>
      <c r="L67" s="16"/>
    </row>
    <row r="68" spans="1:12" x14ac:dyDescent="0.3">
      <c r="A68" s="5"/>
      <c r="B68" s="6" t="s">
        <v>553</v>
      </c>
      <c r="C68" s="120">
        <f>C67*0.19</f>
        <v>14127.393000000002</v>
      </c>
      <c r="D68" s="120">
        <f>D67*0.19</f>
        <v>14409.940860000002</v>
      </c>
      <c r="E68" s="120">
        <f>E67*0.19</f>
        <v>14692.488720000005</v>
      </c>
      <c r="F68" s="120">
        <f>F67*0.19</f>
        <v>14975.036580000004</v>
      </c>
      <c r="G68" s="16"/>
      <c r="H68" s="16"/>
      <c r="I68" s="16"/>
      <c r="J68" s="16"/>
      <c r="K68" s="16"/>
      <c r="L68" s="16"/>
    </row>
    <row r="69" spans="1:12" s="19" customFormat="1" x14ac:dyDescent="0.3">
      <c r="A69" s="20">
        <v>15</v>
      </c>
      <c r="B69" s="21" t="s">
        <v>554</v>
      </c>
      <c r="C69" s="154">
        <f>C70+C71</f>
        <v>0</v>
      </c>
      <c r="D69" s="154">
        <f>D70+D71</f>
        <v>0</v>
      </c>
      <c r="E69" s="154">
        <f>E70+E71</f>
        <v>0</v>
      </c>
      <c r="F69" s="154">
        <f>F70+F71</f>
        <v>0</v>
      </c>
    </row>
    <row r="70" spans="1:12" x14ac:dyDescent="0.3">
      <c r="A70" s="5"/>
      <c r="B70" s="6" t="s">
        <v>555</v>
      </c>
      <c r="C70" s="120">
        <v>0</v>
      </c>
      <c r="D70" s="120">
        <v>0</v>
      </c>
      <c r="E70" s="120">
        <v>0</v>
      </c>
      <c r="F70" s="120">
        <v>0</v>
      </c>
      <c r="G70" s="16"/>
      <c r="H70" s="16"/>
      <c r="I70" s="16"/>
      <c r="J70" s="16"/>
      <c r="K70" s="16"/>
      <c r="L70" s="16"/>
    </row>
    <row r="71" spans="1:12" x14ac:dyDescent="0.3">
      <c r="A71" s="5"/>
      <c r="B71" s="6" t="s">
        <v>556</v>
      </c>
      <c r="C71" s="120">
        <v>0</v>
      </c>
      <c r="D71" s="120">
        <v>0</v>
      </c>
      <c r="E71" s="120">
        <v>0</v>
      </c>
      <c r="F71" s="120">
        <v>0</v>
      </c>
      <c r="G71" s="16"/>
      <c r="H71" s="16"/>
      <c r="I71" s="16"/>
      <c r="J71" s="16"/>
      <c r="K71" s="16"/>
      <c r="L71" s="16"/>
    </row>
    <row r="72" spans="1:12" s="19" customFormat="1" x14ac:dyDescent="0.3">
      <c r="A72" s="20">
        <v>16</v>
      </c>
      <c r="B72" s="21" t="s">
        <v>384</v>
      </c>
      <c r="C72" s="154">
        <f>C73+C74</f>
        <v>0</v>
      </c>
      <c r="D72" s="154">
        <f>D73+D74</f>
        <v>0</v>
      </c>
      <c r="E72" s="154">
        <f>E73+E74</f>
        <v>0</v>
      </c>
      <c r="F72" s="154">
        <f>F73+F74</f>
        <v>0</v>
      </c>
    </row>
    <row r="73" spans="1:12" x14ac:dyDescent="0.3">
      <c r="A73" s="5"/>
      <c r="B73" s="6" t="s">
        <v>557</v>
      </c>
      <c r="C73" s="120">
        <v>0</v>
      </c>
      <c r="D73" s="120">
        <v>0</v>
      </c>
      <c r="E73" s="120">
        <v>0</v>
      </c>
      <c r="F73" s="120">
        <v>0</v>
      </c>
      <c r="G73" s="16"/>
      <c r="H73" s="16"/>
      <c r="I73" s="16"/>
      <c r="J73" s="16"/>
      <c r="K73" s="16"/>
      <c r="L73" s="16"/>
    </row>
    <row r="74" spans="1:12" x14ac:dyDescent="0.3">
      <c r="A74" s="5"/>
      <c r="B74" s="6" t="s">
        <v>558</v>
      </c>
      <c r="C74" s="120">
        <v>0</v>
      </c>
      <c r="D74" s="120">
        <v>0</v>
      </c>
      <c r="E74" s="120">
        <v>0</v>
      </c>
      <c r="F74" s="120">
        <v>0</v>
      </c>
      <c r="G74" s="16"/>
      <c r="H74" s="16"/>
      <c r="I74" s="16"/>
      <c r="J74" s="16"/>
      <c r="K74" s="16"/>
      <c r="L74" s="16"/>
    </row>
    <row r="75" spans="1:12" s="19" customFormat="1" x14ac:dyDescent="0.3">
      <c r="A75" s="20">
        <v>17</v>
      </c>
      <c r="B75" s="21" t="s">
        <v>559</v>
      </c>
      <c r="C75" s="120">
        <f>'3A-Proiectii_fin_investitie'!D101</f>
        <v>173796.37</v>
      </c>
      <c r="D75" s="120">
        <f>'3A-Proiectii_fin_investitie'!E101</f>
        <v>191176.00700000001</v>
      </c>
      <c r="E75" s="120">
        <f>'3A-Proiectii_fin_investitie'!F101</f>
        <v>208555.64400000003</v>
      </c>
      <c r="F75" s="120">
        <f>'3A-Proiectii_fin_investitie'!G101</f>
        <v>225935.28100000005</v>
      </c>
    </row>
    <row r="76" spans="1:12" s="19" customFormat="1" x14ac:dyDescent="0.3">
      <c r="A76" s="20">
        <v>18</v>
      </c>
      <c r="B76" s="21" t="s">
        <v>397</v>
      </c>
      <c r="C76" s="120">
        <f>C75*2.25/100</f>
        <v>3910.4183250000001</v>
      </c>
      <c r="D76" s="120">
        <f>D75*2.25/100</f>
        <v>4301.4601575000006</v>
      </c>
      <c r="E76" s="120">
        <f>E75*2.25/100</f>
        <v>4692.5019900000007</v>
      </c>
      <c r="F76" s="120">
        <f>F75*2.25/100</f>
        <v>5083.5438225000007</v>
      </c>
    </row>
    <row r="77" spans="1:12" s="19" customFormat="1" ht="24" customHeight="1" x14ac:dyDescent="0.3">
      <c r="A77" s="20">
        <v>19</v>
      </c>
      <c r="B77" s="21" t="s">
        <v>560</v>
      </c>
      <c r="C77" s="154">
        <f>C78+C79</f>
        <v>0</v>
      </c>
      <c r="D77" s="154">
        <f>D78+D79</f>
        <v>0</v>
      </c>
      <c r="E77" s="154">
        <f>E78+E79</f>
        <v>0</v>
      </c>
      <c r="F77" s="154">
        <f>F78+F79</f>
        <v>0</v>
      </c>
    </row>
    <row r="78" spans="1:12" x14ac:dyDescent="0.3">
      <c r="A78" s="5"/>
      <c r="B78" s="6" t="s">
        <v>561</v>
      </c>
      <c r="C78" s="120"/>
      <c r="D78" s="120">
        <v>0</v>
      </c>
      <c r="E78" s="120">
        <v>0</v>
      </c>
      <c r="F78" s="120">
        <v>0</v>
      </c>
      <c r="G78" s="16"/>
      <c r="H78" s="16"/>
      <c r="I78" s="16"/>
      <c r="J78" s="16"/>
      <c r="K78" s="16"/>
      <c r="L78" s="16"/>
    </row>
    <row r="79" spans="1:12" x14ac:dyDescent="0.3">
      <c r="A79" s="5"/>
      <c r="B79" s="6" t="s">
        <v>562</v>
      </c>
      <c r="C79" s="120">
        <v>0</v>
      </c>
      <c r="D79" s="120">
        <v>0</v>
      </c>
      <c r="E79" s="120">
        <v>0</v>
      </c>
      <c r="F79" s="120">
        <v>0</v>
      </c>
      <c r="G79" s="16"/>
      <c r="H79" s="16"/>
      <c r="I79" s="16"/>
      <c r="J79" s="16"/>
      <c r="K79" s="16"/>
      <c r="L79" s="16"/>
    </row>
    <row r="80" spans="1:12" x14ac:dyDescent="0.3">
      <c r="A80" s="5"/>
      <c r="B80" s="293" t="s">
        <v>114</v>
      </c>
      <c r="C80" s="153">
        <f>C81+C85</f>
        <v>0</v>
      </c>
      <c r="D80" s="153">
        <f>D81+D85</f>
        <v>0</v>
      </c>
      <c r="E80" s="153">
        <f>E81+E85</f>
        <v>0</v>
      </c>
      <c r="F80" s="153">
        <f>F81+F85</f>
        <v>0</v>
      </c>
      <c r="G80" s="16"/>
      <c r="H80" s="16"/>
      <c r="I80" s="16"/>
      <c r="J80" s="16"/>
      <c r="K80" s="16"/>
      <c r="L80" s="16"/>
    </row>
    <row r="81" spans="1:12" x14ac:dyDescent="0.3">
      <c r="A81" s="5">
        <v>20</v>
      </c>
      <c r="B81" s="21" t="s">
        <v>563</v>
      </c>
      <c r="C81" s="153">
        <f>SUM(C82:C84)</f>
        <v>0</v>
      </c>
      <c r="D81" s="153">
        <f>SUM(D82:D84)</f>
        <v>0</v>
      </c>
      <c r="E81" s="153">
        <f>SUM(E82:E84)</f>
        <v>0</v>
      </c>
      <c r="F81" s="153">
        <f>SUM(F82:F84)</f>
        <v>0</v>
      </c>
      <c r="G81" s="16"/>
      <c r="H81" s="16"/>
      <c r="I81" s="16"/>
      <c r="J81" s="16"/>
      <c r="K81" s="16"/>
      <c r="L81" s="16"/>
    </row>
    <row r="82" spans="1:12" x14ac:dyDescent="0.3">
      <c r="A82" s="5"/>
      <c r="B82" s="8" t="s">
        <v>564</v>
      </c>
      <c r="C82" s="120">
        <v>0</v>
      </c>
      <c r="D82" s="120">
        <v>0</v>
      </c>
      <c r="E82" s="120">
        <v>0</v>
      </c>
      <c r="F82" s="120">
        <v>0</v>
      </c>
      <c r="G82" s="16"/>
      <c r="H82" s="16"/>
      <c r="I82" s="16"/>
      <c r="J82" s="16"/>
      <c r="K82" s="16"/>
      <c r="L82" s="16"/>
    </row>
    <row r="83" spans="1:12" ht="24" customHeight="1" x14ac:dyDescent="0.3">
      <c r="A83" s="5"/>
      <c r="B83" s="8" t="s">
        <v>565</v>
      </c>
      <c r="C83" s="120">
        <v>0</v>
      </c>
      <c r="D83" s="120">
        <v>0</v>
      </c>
      <c r="E83" s="120">
        <v>0</v>
      </c>
      <c r="F83" s="120">
        <v>0</v>
      </c>
      <c r="G83" s="16"/>
      <c r="H83" s="16"/>
      <c r="I83" s="16"/>
      <c r="J83" s="16"/>
      <c r="K83" s="16"/>
      <c r="L83" s="16"/>
    </row>
    <row r="84" spans="1:12" x14ac:dyDescent="0.3">
      <c r="A84" s="5"/>
      <c r="B84" s="8" t="s">
        <v>566</v>
      </c>
      <c r="C84" s="120">
        <v>0</v>
      </c>
      <c r="D84" s="120">
        <v>0</v>
      </c>
      <c r="E84" s="120">
        <v>0</v>
      </c>
      <c r="F84" s="120">
        <v>0</v>
      </c>
      <c r="G84" s="16"/>
      <c r="H84" s="16"/>
      <c r="I84" s="16"/>
      <c r="J84" s="16"/>
      <c r="K84" s="16"/>
      <c r="L84" s="16"/>
    </row>
    <row r="85" spans="1:12" s="19" customFormat="1" ht="36" customHeight="1" x14ac:dyDescent="0.3">
      <c r="A85" s="20">
        <v>21</v>
      </c>
      <c r="B85" s="21" t="s">
        <v>567</v>
      </c>
      <c r="C85" s="120">
        <v>0</v>
      </c>
      <c r="D85" s="120">
        <v>0</v>
      </c>
      <c r="E85" s="120">
        <v>0</v>
      </c>
      <c r="F85" s="120">
        <v>0</v>
      </c>
    </row>
    <row r="86" spans="1:12" x14ac:dyDescent="0.3">
      <c r="A86" s="402" t="s">
        <v>568</v>
      </c>
      <c r="B86" s="335"/>
      <c r="C86" s="153">
        <f>C62+C80</f>
        <v>400569.893125</v>
      </c>
      <c r="D86" s="153">
        <f>D62+D80</f>
        <v>422797.83405349997</v>
      </c>
      <c r="E86" s="153">
        <f>E62+E80</f>
        <v>446369.58510000008</v>
      </c>
      <c r="F86" s="153">
        <f>F62+F80</f>
        <v>469941.33614650002</v>
      </c>
      <c r="G86" s="16"/>
      <c r="H86" s="16"/>
      <c r="I86" s="16"/>
      <c r="J86" s="16"/>
      <c r="K86" s="16"/>
      <c r="L86" s="16"/>
    </row>
    <row r="87" spans="1:12" x14ac:dyDescent="0.3">
      <c r="A87" s="402" t="s">
        <v>569</v>
      </c>
      <c r="B87" s="335"/>
      <c r="C87" s="153">
        <f>C60-C86</f>
        <v>-400569.893125</v>
      </c>
      <c r="D87" s="153">
        <f>D60-D86</f>
        <v>-422797.83405349997</v>
      </c>
      <c r="E87" s="153">
        <f>E60-E86</f>
        <v>-446369.58510000008</v>
      </c>
      <c r="F87" s="153">
        <f>F60-F86</f>
        <v>-469941.33614650002</v>
      </c>
      <c r="G87" s="16"/>
      <c r="H87" s="16"/>
      <c r="I87" s="16"/>
      <c r="J87" s="16"/>
      <c r="K87" s="16"/>
      <c r="L87" s="16"/>
    </row>
    <row r="88" spans="1:12" ht="25.5" customHeight="1" x14ac:dyDescent="0.3">
      <c r="A88" s="402" t="s">
        <v>570</v>
      </c>
      <c r="B88" s="335"/>
      <c r="C88" s="153">
        <f>C33+C87</f>
        <v>-705325.89312499994</v>
      </c>
      <c r="D88" s="153">
        <f>D33+D87</f>
        <v>-422797.83405349997</v>
      </c>
      <c r="E88" s="153">
        <f>E33+E87</f>
        <v>-446369.58510000008</v>
      </c>
      <c r="F88" s="153">
        <f>F33+F87</f>
        <v>-469941.33614650002</v>
      </c>
      <c r="G88" s="16"/>
      <c r="H88" s="16"/>
      <c r="I88" s="16"/>
      <c r="J88" s="16"/>
      <c r="K88" s="16"/>
      <c r="L88" s="16"/>
    </row>
    <row r="89" spans="1:12" x14ac:dyDescent="0.3">
      <c r="A89" s="5">
        <v>22</v>
      </c>
      <c r="B89" s="8" t="s">
        <v>405</v>
      </c>
      <c r="C89" s="120">
        <v>0</v>
      </c>
      <c r="D89" s="120">
        <v>0</v>
      </c>
      <c r="E89" s="120">
        <v>0</v>
      </c>
      <c r="F89" s="120">
        <v>0</v>
      </c>
      <c r="G89" s="16"/>
      <c r="H89" s="16"/>
      <c r="I89" s="16"/>
      <c r="J89" s="16"/>
      <c r="K89" s="16"/>
      <c r="L89" s="16"/>
    </row>
    <row r="90" spans="1:12" x14ac:dyDescent="0.3">
      <c r="A90" s="5">
        <v>23</v>
      </c>
      <c r="B90" s="8" t="s">
        <v>406</v>
      </c>
      <c r="C90" s="120">
        <v>0</v>
      </c>
      <c r="D90" s="120">
        <v>0</v>
      </c>
      <c r="E90" s="120">
        <v>0</v>
      </c>
      <c r="F90" s="120">
        <v>0</v>
      </c>
      <c r="G90" s="16"/>
      <c r="H90" s="16"/>
      <c r="I90" s="16"/>
      <c r="J90" s="16"/>
      <c r="K90" s="16"/>
      <c r="L90" s="16"/>
    </row>
    <row r="91" spans="1:12" x14ac:dyDescent="0.3">
      <c r="A91" s="5">
        <v>24</v>
      </c>
      <c r="B91" s="8" t="s">
        <v>571</v>
      </c>
      <c r="C91" s="120">
        <v>0</v>
      </c>
      <c r="D91" s="120">
        <v>0</v>
      </c>
      <c r="E91" s="120">
        <v>0</v>
      </c>
      <c r="F91" s="120">
        <v>0</v>
      </c>
      <c r="G91" s="16"/>
      <c r="H91" s="16"/>
      <c r="I91" s="16"/>
      <c r="J91" s="16"/>
      <c r="K91" s="16"/>
      <c r="L91" s="16"/>
    </row>
    <row r="92" spans="1:12" x14ac:dyDescent="0.3">
      <c r="A92" s="402" t="s">
        <v>572</v>
      </c>
      <c r="B92" s="335"/>
      <c r="C92" s="153">
        <f>C89-C90+C91</f>
        <v>0</v>
      </c>
      <c r="D92" s="153">
        <f>D89-D90+D91</f>
        <v>0</v>
      </c>
      <c r="E92" s="153">
        <f>E89-E90+E91</f>
        <v>0</v>
      </c>
      <c r="F92" s="153">
        <f>F89-F90+F91</f>
        <v>0</v>
      </c>
      <c r="G92" s="16"/>
      <c r="H92" s="16"/>
      <c r="I92" s="16"/>
      <c r="J92" s="16"/>
      <c r="K92" s="16"/>
      <c r="L92" s="16"/>
    </row>
    <row r="93" spans="1:12" x14ac:dyDescent="0.3">
      <c r="A93" s="402" t="s">
        <v>518</v>
      </c>
      <c r="B93" s="335"/>
      <c r="C93" s="153">
        <f>C33</f>
        <v>-304756</v>
      </c>
      <c r="D93" s="153">
        <f>D33</f>
        <v>0</v>
      </c>
      <c r="E93" s="153">
        <f>E33</f>
        <v>0</v>
      </c>
      <c r="F93" s="153">
        <f>F33</f>
        <v>0</v>
      </c>
      <c r="G93" s="16"/>
      <c r="H93" s="16"/>
      <c r="I93" s="16"/>
      <c r="J93" s="16"/>
      <c r="K93" s="16"/>
      <c r="L93" s="16"/>
    </row>
    <row r="94" spans="1:12" x14ac:dyDescent="0.3">
      <c r="A94" s="402" t="s">
        <v>573</v>
      </c>
      <c r="B94" s="335"/>
      <c r="C94" s="153">
        <f>C87-C92</f>
        <v>-400569.893125</v>
      </c>
      <c r="D94" s="153">
        <f>D87-D92</f>
        <v>-422797.83405349997</v>
      </c>
      <c r="E94" s="153">
        <f>E87-E92</f>
        <v>-446369.58510000008</v>
      </c>
      <c r="F94" s="153">
        <f>F87-F92</f>
        <v>-469941.33614650002</v>
      </c>
      <c r="G94" s="16"/>
      <c r="H94" s="16"/>
      <c r="I94" s="16"/>
      <c r="J94" s="16"/>
      <c r="K94" s="16"/>
      <c r="L94" s="16"/>
    </row>
    <row r="95" spans="1:12" ht="14.4" customHeight="1" x14ac:dyDescent="0.3">
      <c r="A95" s="368" t="s">
        <v>574</v>
      </c>
      <c r="B95" s="324"/>
      <c r="C95" s="324"/>
      <c r="D95" s="324"/>
      <c r="E95" s="324"/>
      <c r="F95" s="335"/>
      <c r="G95" s="16"/>
      <c r="H95" s="16"/>
      <c r="I95" s="16"/>
      <c r="J95" s="16"/>
      <c r="K95" s="16"/>
      <c r="L95" s="16"/>
    </row>
    <row r="96" spans="1:12" x14ac:dyDescent="0.3">
      <c r="A96" s="402" t="s">
        <v>575</v>
      </c>
      <c r="B96" s="335"/>
      <c r="C96" s="153">
        <f>C93+C94</f>
        <v>-705325.89312499994</v>
      </c>
      <c r="D96" s="153">
        <f>D93+D94</f>
        <v>-422797.83405349997</v>
      </c>
      <c r="E96" s="153">
        <f>E93+E94</f>
        <v>-446369.58510000008</v>
      </c>
      <c r="F96" s="153">
        <f>F93+F94</f>
        <v>-469941.33614650002</v>
      </c>
      <c r="G96" s="16"/>
      <c r="H96" s="16"/>
      <c r="I96" s="16"/>
      <c r="J96" s="16"/>
      <c r="K96" s="16"/>
      <c r="L96" s="16"/>
    </row>
    <row r="97" spans="1:12" x14ac:dyDescent="0.3">
      <c r="A97" s="402" t="s">
        <v>410</v>
      </c>
      <c r="B97" s="335"/>
      <c r="C97" s="153">
        <f>'1A-Bilant'!D28</f>
        <v>0</v>
      </c>
      <c r="D97" s="153">
        <f>C98</f>
        <v>-705325.89312499994</v>
      </c>
      <c r="E97" s="153">
        <f>D98</f>
        <v>-1128123.7271785</v>
      </c>
      <c r="F97" s="153">
        <f>E98</f>
        <v>-1574493.3122785001</v>
      </c>
      <c r="G97" s="16"/>
      <c r="H97" s="16"/>
      <c r="I97" s="16"/>
      <c r="J97" s="16"/>
      <c r="K97" s="16"/>
      <c r="L97" s="16"/>
    </row>
    <row r="98" spans="1:12" x14ac:dyDescent="0.3">
      <c r="A98" s="402" t="s">
        <v>411</v>
      </c>
      <c r="B98" s="335"/>
      <c r="C98" s="153">
        <f>C97+C96</f>
        <v>-705325.89312499994</v>
      </c>
      <c r="D98" s="153">
        <f>D97+D96</f>
        <v>-1128123.7271785</v>
      </c>
      <c r="E98" s="153">
        <f>E97+E96</f>
        <v>-1574493.3122785001</v>
      </c>
      <c r="F98" s="153">
        <f>F97+F96</f>
        <v>-2044434.648425</v>
      </c>
      <c r="G98" s="16"/>
      <c r="H98" s="16"/>
      <c r="I98" s="16"/>
      <c r="J98" s="16"/>
      <c r="K98" s="16"/>
      <c r="L98" s="16"/>
    </row>
    <row r="102" spans="1:12" x14ac:dyDescent="0.3">
      <c r="A102" s="405" t="s">
        <v>576</v>
      </c>
      <c r="B102" s="399"/>
      <c r="C102" s="372"/>
      <c r="D102" s="372"/>
      <c r="E102" s="372"/>
      <c r="F102" s="372"/>
      <c r="G102" s="372"/>
      <c r="H102" s="372"/>
      <c r="I102" s="372"/>
      <c r="J102" s="372"/>
      <c r="K102" s="372"/>
      <c r="L102" s="372"/>
    </row>
    <row r="103" spans="1:12" x14ac:dyDescent="0.3">
      <c r="A103" s="401" t="s">
        <v>494</v>
      </c>
      <c r="B103" s="401" t="s">
        <v>495</v>
      </c>
      <c r="C103" s="403" t="s">
        <v>360</v>
      </c>
      <c r="D103" s="324"/>
      <c r="E103" s="324"/>
      <c r="F103" s="335"/>
      <c r="G103" s="16"/>
      <c r="H103" s="16"/>
      <c r="I103" s="16"/>
      <c r="J103" s="16"/>
      <c r="K103" s="16"/>
      <c r="L103" s="16"/>
    </row>
    <row r="104" spans="1:12" ht="24" customHeight="1" x14ac:dyDescent="0.3">
      <c r="A104" s="350"/>
      <c r="B104" s="350"/>
      <c r="C104" s="15" t="s">
        <v>361</v>
      </c>
      <c r="D104" s="15" t="s">
        <v>362</v>
      </c>
      <c r="E104" s="15" t="s">
        <v>363</v>
      </c>
      <c r="F104" s="15" t="s">
        <v>364</v>
      </c>
      <c r="G104" s="16"/>
      <c r="H104" s="16"/>
      <c r="I104" s="16"/>
      <c r="J104" s="16"/>
      <c r="K104" s="16"/>
      <c r="L104" s="16"/>
    </row>
    <row r="105" spans="1:12" ht="14.4" customHeight="1" x14ac:dyDescent="0.3">
      <c r="A105" s="398" t="s">
        <v>577</v>
      </c>
      <c r="B105" s="324"/>
      <c r="C105" s="324"/>
      <c r="D105" s="324"/>
      <c r="E105" s="324"/>
      <c r="F105" s="335"/>
      <c r="G105" s="16"/>
      <c r="H105" s="16"/>
      <c r="I105" s="16"/>
      <c r="J105" s="16"/>
      <c r="K105" s="16"/>
      <c r="L105" s="16"/>
    </row>
    <row r="106" spans="1:12" x14ac:dyDescent="0.3">
      <c r="A106" s="4">
        <v>1</v>
      </c>
      <c r="B106" s="24" t="s">
        <v>578</v>
      </c>
      <c r="C106" s="155">
        <f>C38+C41+C44+C47+C50</f>
        <v>0</v>
      </c>
      <c r="D106" s="155">
        <f>D38+D41+D44+D47+D50</f>
        <v>0</v>
      </c>
      <c r="E106" s="155">
        <f>E38+E41+E44+E47+E50</f>
        <v>0</v>
      </c>
      <c r="F106" s="155">
        <f>F38+F41+F44+F47+F50</f>
        <v>0</v>
      </c>
      <c r="G106" s="16"/>
      <c r="H106" s="16"/>
      <c r="I106" s="16"/>
      <c r="J106" s="16"/>
      <c r="K106" s="16"/>
      <c r="L106" s="16"/>
    </row>
    <row r="107" spans="1:12" ht="24" customHeight="1" x14ac:dyDescent="0.3">
      <c r="A107" s="4">
        <v>2</v>
      </c>
      <c r="B107" s="24" t="s">
        <v>85</v>
      </c>
      <c r="C107" s="245">
        <v>0</v>
      </c>
      <c r="D107" s="245">
        <v>0</v>
      </c>
      <c r="E107" s="245">
        <v>0</v>
      </c>
      <c r="F107" s="245">
        <v>0</v>
      </c>
      <c r="G107" s="16"/>
      <c r="H107" s="16"/>
      <c r="I107" s="16"/>
      <c r="J107" s="16"/>
      <c r="K107" s="16"/>
      <c r="L107" s="16"/>
    </row>
    <row r="108" spans="1:12" ht="24" customHeight="1" x14ac:dyDescent="0.3">
      <c r="A108" s="4">
        <v>3</v>
      </c>
      <c r="B108" s="24" t="s">
        <v>579</v>
      </c>
      <c r="C108" s="245">
        <v>0</v>
      </c>
      <c r="D108" s="245">
        <v>0</v>
      </c>
      <c r="E108" s="245">
        <v>0</v>
      </c>
      <c r="F108" s="245">
        <v>0</v>
      </c>
      <c r="G108" s="16"/>
      <c r="H108" s="16"/>
      <c r="I108" s="16"/>
      <c r="J108" s="16"/>
      <c r="K108" s="16"/>
      <c r="L108" s="16"/>
    </row>
    <row r="109" spans="1:12" ht="24" customHeight="1" x14ac:dyDescent="0.3">
      <c r="A109" s="4">
        <v>4</v>
      </c>
      <c r="B109" s="24" t="s">
        <v>580</v>
      </c>
      <c r="C109" s="245">
        <v>0</v>
      </c>
      <c r="D109" s="245">
        <v>0</v>
      </c>
      <c r="E109" s="245">
        <v>0</v>
      </c>
      <c r="F109" s="245">
        <v>0</v>
      </c>
      <c r="G109" s="16"/>
      <c r="H109" s="16"/>
      <c r="I109" s="16"/>
      <c r="J109" s="16"/>
      <c r="K109" s="16"/>
      <c r="L109" s="16"/>
    </row>
    <row r="110" spans="1:12" x14ac:dyDescent="0.3">
      <c r="A110" s="396" t="s">
        <v>581</v>
      </c>
      <c r="B110" s="335"/>
      <c r="C110" s="151">
        <f>SUM(C106:C109)</f>
        <v>0</v>
      </c>
      <c r="D110" s="151">
        <f>SUM(D106:D109)</f>
        <v>0</v>
      </c>
      <c r="E110" s="151">
        <f>SUM(E106:E109)</f>
        <v>0</v>
      </c>
      <c r="F110" s="151">
        <f>SUM(F106:F109)</f>
        <v>0</v>
      </c>
      <c r="G110" s="16"/>
      <c r="H110" s="16"/>
      <c r="I110" s="16"/>
      <c r="J110" s="16"/>
      <c r="K110" s="16"/>
      <c r="L110" s="16"/>
    </row>
    <row r="111" spans="1:12" ht="14.4" customHeight="1" x14ac:dyDescent="0.3">
      <c r="A111" s="397" t="s">
        <v>582</v>
      </c>
      <c r="B111" s="324"/>
      <c r="C111" s="324"/>
      <c r="D111" s="324"/>
      <c r="E111" s="324"/>
      <c r="F111" s="335"/>
      <c r="G111" s="16"/>
      <c r="H111" s="16"/>
      <c r="I111" s="16"/>
      <c r="J111" s="16"/>
      <c r="K111" s="16"/>
      <c r="L111" s="16"/>
    </row>
    <row r="112" spans="1:12" x14ac:dyDescent="0.3">
      <c r="A112" s="4">
        <v>5</v>
      </c>
      <c r="B112" s="24" t="s">
        <v>583</v>
      </c>
      <c r="C112" s="156">
        <f>C64+C67+C73+C70</f>
        <v>187279.92000000004</v>
      </c>
      <c r="D112" s="156">
        <f>D64+D67+D73+D70</f>
        <v>191025.5184</v>
      </c>
      <c r="E112" s="156">
        <f>E64+E67+E73+E70</f>
        <v>195900.36900000004</v>
      </c>
      <c r="F112" s="156">
        <f>F64+F67+F73+F70</f>
        <v>200775.21960000004</v>
      </c>
      <c r="G112" s="16"/>
      <c r="H112" s="160"/>
      <c r="I112" s="16"/>
      <c r="J112" s="16"/>
      <c r="K112" s="16"/>
      <c r="L112" s="16"/>
    </row>
    <row r="113" spans="1:12" x14ac:dyDescent="0.3">
      <c r="A113" s="4">
        <v>6</v>
      </c>
      <c r="B113" s="24" t="s">
        <v>584</v>
      </c>
      <c r="C113" s="156">
        <f>C75+C76</f>
        <v>177706.788325</v>
      </c>
      <c r="D113" s="156">
        <f>D75+D76</f>
        <v>195477.46715750001</v>
      </c>
      <c r="E113" s="156">
        <f>E75+E76</f>
        <v>213248.14599000002</v>
      </c>
      <c r="F113" s="156">
        <f>F75+F76</f>
        <v>231018.82482250006</v>
      </c>
      <c r="G113" s="16"/>
      <c r="H113" s="16"/>
      <c r="I113" s="16"/>
      <c r="J113" s="16"/>
      <c r="K113" s="16"/>
      <c r="L113" s="16"/>
    </row>
    <row r="114" spans="1:12" x14ac:dyDescent="0.3">
      <c r="A114" s="4">
        <v>7</v>
      </c>
      <c r="B114" s="24" t="s">
        <v>585</v>
      </c>
      <c r="C114" s="159">
        <v>0</v>
      </c>
      <c r="D114" s="159">
        <v>0</v>
      </c>
      <c r="E114" s="159">
        <v>0</v>
      </c>
      <c r="F114" s="159">
        <v>0</v>
      </c>
      <c r="G114" s="16"/>
      <c r="H114" s="16"/>
      <c r="I114" s="16"/>
      <c r="J114" s="16"/>
      <c r="K114" s="16"/>
      <c r="L114" s="16"/>
    </row>
    <row r="115" spans="1:12" ht="24" customHeight="1" x14ac:dyDescent="0.3">
      <c r="A115" s="4">
        <v>8</v>
      </c>
      <c r="B115" s="24" t="s">
        <v>560</v>
      </c>
      <c r="C115" s="156">
        <f>C78</f>
        <v>0</v>
      </c>
      <c r="D115" s="156">
        <f>D78</f>
        <v>0</v>
      </c>
      <c r="E115" s="156">
        <f>E78</f>
        <v>0</v>
      </c>
      <c r="F115" s="156">
        <f>F78</f>
        <v>0</v>
      </c>
      <c r="G115" s="16"/>
      <c r="H115" s="16"/>
      <c r="I115" s="16"/>
      <c r="J115" s="16"/>
      <c r="K115" s="16"/>
      <c r="L115" s="16"/>
    </row>
    <row r="116" spans="1:12" x14ac:dyDescent="0.3">
      <c r="A116" s="396" t="s">
        <v>586</v>
      </c>
      <c r="B116" s="335"/>
      <c r="C116" s="308">
        <f>SUM(C112:C115)</f>
        <v>364986.70832500001</v>
      </c>
      <c r="D116" s="308">
        <f>SUM(D112:D115)</f>
        <v>386502.98555750004</v>
      </c>
      <c r="E116" s="308">
        <f>SUM(E112:E115)</f>
        <v>409148.51499000005</v>
      </c>
      <c r="F116" s="308">
        <f>SUM(F112:F115)</f>
        <v>431794.04442250007</v>
      </c>
      <c r="G116" s="16"/>
      <c r="H116" s="16"/>
      <c r="I116" s="16"/>
      <c r="J116" s="16"/>
      <c r="K116" s="16"/>
      <c r="L116" s="16"/>
    </row>
    <row r="117" spans="1:12" x14ac:dyDescent="0.3">
      <c r="A117" s="396" t="s">
        <v>103</v>
      </c>
      <c r="B117" s="335"/>
      <c r="C117" s="308">
        <f>C110-C116</f>
        <v>-364986.70832500001</v>
      </c>
      <c r="D117" s="308">
        <f>D110-D116</f>
        <v>-386502.98555750004</v>
      </c>
      <c r="E117" s="308">
        <f>E110-E116</f>
        <v>-409148.51499000005</v>
      </c>
      <c r="F117" s="308">
        <f>F110-F116</f>
        <v>-431794.04442250007</v>
      </c>
      <c r="G117" s="16"/>
      <c r="H117" s="16"/>
      <c r="I117" s="16"/>
      <c r="J117" s="16"/>
      <c r="K117" s="16"/>
      <c r="L117" s="16"/>
    </row>
    <row r="118" spans="1:12" ht="14.4" customHeight="1" x14ac:dyDescent="0.3">
      <c r="A118" s="397" t="s">
        <v>587</v>
      </c>
      <c r="B118" s="324"/>
      <c r="C118" s="324"/>
      <c r="D118" s="324"/>
      <c r="E118" s="324"/>
      <c r="F118" s="335"/>
      <c r="G118" s="16"/>
      <c r="H118" s="16"/>
      <c r="I118" s="16"/>
      <c r="J118" s="16"/>
      <c r="K118" s="16"/>
      <c r="L118" s="16"/>
    </row>
    <row r="119" spans="1:12" x14ac:dyDescent="0.3">
      <c r="A119" s="396" t="s">
        <v>588</v>
      </c>
      <c r="B119" s="335"/>
      <c r="C119" s="308">
        <f>C55</f>
        <v>0</v>
      </c>
      <c r="D119" s="308">
        <f>D55</f>
        <v>0</v>
      </c>
      <c r="E119" s="308">
        <f>E55</f>
        <v>0</v>
      </c>
      <c r="F119" s="308">
        <f>F55</f>
        <v>0</v>
      </c>
      <c r="G119" s="16"/>
      <c r="H119" s="16"/>
      <c r="I119" s="16"/>
      <c r="J119" s="16"/>
      <c r="K119" s="16"/>
      <c r="L119" s="16"/>
    </row>
    <row r="120" spans="1:12" ht="14.4" customHeight="1" x14ac:dyDescent="0.3">
      <c r="A120" s="397" t="s">
        <v>589</v>
      </c>
      <c r="B120" s="324"/>
      <c r="C120" s="324"/>
      <c r="D120" s="324"/>
      <c r="E120" s="324"/>
      <c r="F120" s="335"/>
      <c r="G120" s="16"/>
      <c r="H120" s="16"/>
      <c r="I120" s="16"/>
      <c r="J120" s="16"/>
      <c r="K120" s="16"/>
      <c r="L120" s="16"/>
    </row>
    <row r="121" spans="1:12" x14ac:dyDescent="0.3">
      <c r="A121" s="4">
        <v>9</v>
      </c>
      <c r="B121" s="24" t="s">
        <v>563</v>
      </c>
      <c r="C121" s="156">
        <f>C122+C123+C124</f>
        <v>0</v>
      </c>
      <c r="D121" s="156">
        <f>D122+D123+D124</f>
        <v>0</v>
      </c>
      <c r="E121" s="156">
        <f>E122+E123+E124</f>
        <v>0</v>
      </c>
      <c r="F121" s="156">
        <f>F122+F123+F124</f>
        <v>0</v>
      </c>
      <c r="G121" s="16"/>
      <c r="H121" s="16"/>
      <c r="I121" s="16"/>
      <c r="J121" s="16"/>
      <c r="K121" s="16"/>
      <c r="L121" s="16"/>
    </row>
    <row r="122" spans="1:12" x14ac:dyDescent="0.3">
      <c r="A122" s="4"/>
      <c r="B122" s="50" t="s">
        <v>564</v>
      </c>
      <c r="C122" s="157">
        <f t="shared" ref="C122:F125" si="1">C82</f>
        <v>0</v>
      </c>
      <c r="D122" s="157">
        <f t="shared" si="1"/>
        <v>0</v>
      </c>
      <c r="E122" s="157">
        <f t="shared" si="1"/>
        <v>0</v>
      </c>
      <c r="F122" s="157">
        <f t="shared" si="1"/>
        <v>0</v>
      </c>
      <c r="G122" s="16"/>
      <c r="H122" s="16"/>
      <c r="I122" s="16"/>
      <c r="J122" s="16"/>
      <c r="K122" s="16"/>
      <c r="L122" s="16"/>
    </row>
    <row r="123" spans="1:12" ht="24" customHeight="1" x14ac:dyDescent="0.3">
      <c r="A123" s="4"/>
      <c r="B123" s="50" t="s">
        <v>565</v>
      </c>
      <c r="C123" s="157">
        <f t="shared" si="1"/>
        <v>0</v>
      </c>
      <c r="D123" s="157">
        <f t="shared" si="1"/>
        <v>0</v>
      </c>
      <c r="E123" s="157">
        <f t="shared" si="1"/>
        <v>0</v>
      </c>
      <c r="F123" s="157">
        <f t="shared" si="1"/>
        <v>0</v>
      </c>
      <c r="G123" s="16"/>
      <c r="H123" s="16"/>
      <c r="I123" s="16"/>
      <c r="J123" s="16"/>
      <c r="K123" s="16"/>
      <c r="L123" s="16"/>
    </row>
    <row r="124" spans="1:12" x14ac:dyDescent="0.3">
      <c r="A124" s="4"/>
      <c r="B124" s="50" t="s">
        <v>566</v>
      </c>
      <c r="C124" s="157">
        <f t="shared" si="1"/>
        <v>0</v>
      </c>
      <c r="D124" s="157">
        <f t="shared" si="1"/>
        <v>0</v>
      </c>
      <c r="E124" s="157">
        <f t="shared" si="1"/>
        <v>0</v>
      </c>
      <c r="F124" s="157">
        <f t="shared" si="1"/>
        <v>0</v>
      </c>
      <c r="G124" s="16"/>
      <c r="H124" s="16"/>
      <c r="I124" s="16"/>
      <c r="J124" s="16"/>
      <c r="K124" s="16"/>
      <c r="L124" s="16"/>
    </row>
    <row r="125" spans="1:12" x14ac:dyDescent="0.3">
      <c r="A125" s="4">
        <v>10</v>
      </c>
      <c r="B125" s="24" t="s">
        <v>590</v>
      </c>
      <c r="C125" s="157">
        <f t="shared" si="1"/>
        <v>0</v>
      </c>
      <c r="D125" s="157">
        <f t="shared" si="1"/>
        <v>0</v>
      </c>
      <c r="E125" s="157">
        <f t="shared" si="1"/>
        <v>0</v>
      </c>
      <c r="F125" s="157">
        <f t="shared" si="1"/>
        <v>0</v>
      </c>
      <c r="G125" s="16"/>
      <c r="H125" s="16"/>
      <c r="I125" s="16"/>
      <c r="J125" s="16"/>
      <c r="K125" s="16"/>
      <c r="L125" s="16"/>
    </row>
    <row r="126" spans="1:12" x14ac:dyDescent="0.3">
      <c r="A126" s="396" t="s">
        <v>591</v>
      </c>
      <c r="B126" s="335"/>
      <c r="C126" s="308">
        <f>C121+C125</f>
        <v>0</v>
      </c>
      <c r="D126" s="308">
        <f>D121+D125</f>
        <v>0</v>
      </c>
      <c r="E126" s="308">
        <f>E121+E125</f>
        <v>0</v>
      </c>
      <c r="F126" s="308">
        <f>F121+F125</f>
        <v>0</v>
      </c>
      <c r="G126" s="16"/>
      <c r="H126" s="16"/>
      <c r="I126" s="16"/>
      <c r="J126" s="16"/>
      <c r="K126" s="16"/>
      <c r="L126" s="16"/>
    </row>
    <row r="127" spans="1:12" x14ac:dyDescent="0.3">
      <c r="A127" s="396" t="s">
        <v>115</v>
      </c>
      <c r="B127" s="335"/>
      <c r="C127" s="308">
        <f>C119-C126</f>
        <v>0</v>
      </c>
      <c r="D127" s="308">
        <f>D119-D126</f>
        <v>0</v>
      </c>
      <c r="E127" s="308">
        <f>E119-E126</f>
        <v>0</v>
      </c>
      <c r="F127" s="308">
        <f>F119-F126</f>
        <v>0</v>
      </c>
      <c r="G127" s="16"/>
      <c r="H127" s="16"/>
      <c r="I127" s="16"/>
      <c r="J127" s="16"/>
      <c r="K127" s="16"/>
      <c r="L127" s="16"/>
    </row>
    <row r="128" spans="1:12" x14ac:dyDescent="0.3">
      <c r="A128" s="25"/>
      <c r="B128" s="308" t="s">
        <v>592</v>
      </c>
      <c r="C128" s="308">
        <f>C117+C127</f>
        <v>-364986.70832500001</v>
      </c>
      <c r="D128" s="308">
        <f>D117+D127</f>
        <v>-386502.98555750004</v>
      </c>
      <c r="E128" s="308">
        <f>E117+E127</f>
        <v>-409148.51499000005</v>
      </c>
      <c r="F128" s="308">
        <f>F117+F127</f>
        <v>-431794.04442250007</v>
      </c>
      <c r="G128" s="16"/>
      <c r="H128" s="16"/>
      <c r="I128" s="16"/>
      <c r="J128" s="16"/>
      <c r="K128" s="16"/>
      <c r="L128" s="16"/>
    </row>
    <row r="129" spans="1:12" x14ac:dyDescent="0.3">
      <c r="A129" s="230"/>
      <c r="B129" s="309" t="s">
        <v>593</v>
      </c>
      <c r="C129" s="158">
        <f>C110+C119</f>
        <v>0</v>
      </c>
      <c r="D129" s="158">
        <f>D110+D119</f>
        <v>0</v>
      </c>
      <c r="E129" s="158">
        <f>E110+E119</f>
        <v>0</v>
      </c>
      <c r="F129" s="158">
        <f>F110+F119</f>
        <v>0</v>
      </c>
      <c r="G129" s="16"/>
      <c r="H129" s="16"/>
      <c r="I129" s="16"/>
      <c r="J129" s="16"/>
      <c r="K129" s="16"/>
      <c r="L129" s="16"/>
    </row>
    <row r="130" spans="1:12" x14ac:dyDescent="0.3">
      <c r="A130" s="230"/>
      <c r="B130" s="26" t="s">
        <v>594</v>
      </c>
      <c r="C130" s="158">
        <f>C116+C126</f>
        <v>364986.70832500001</v>
      </c>
      <c r="D130" s="158">
        <f>D116+D126</f>
        <v>386502.98555750004</v>
      </c>
      <c r="E130" s="158">
        <f>E116+E126</f>
        <v>409148.51499000005</v>
      </c>
      <c r="F130" s="158">
        <f>F116+F126</f>
        <v>431794.04442250007</v>
      </c>
      <c r="G130" s="16"/>
      <c r="H130" s="16"/>
      <c r="I130" s="16"/>
      <c r="J130" s="16"/>
      <c r="K130" s="16"/>
      <c r="L130" s="16"/>
    </row>
    <row r="131" spans="1:12" x14ac:dyDescent="0.3">
      <c r="A131" s="396" t="s">
        <v>595</v>
      </c>
      <c r="B131" s="335"/>
      <c r="C131" s="308">
        <f>C129-C130</f>
        <v>-364986.70832500001</v>
      </c>
      <c r="D131" s="308">
        <f>D129-D130</f>
        <v>-386502.98555750004</v>
      </c>
      <c r="E131" s="308">
        <f>E129-E130</f>
        <v>-409148.51499000005</v>
      </c>
      <c r="F131" s="308">
        <f>F129-F130</f>
        <v>-431794.04442250007</v>
      </c>
      <c r="G131" s="16"/>
      <c r="H131" s="16"/>
      <c r="I131" s="16"/>
      <c r="J131" s="16"/>
      <c r="K131" s="16"/>
      <c r="L131" s="16"/>
    </row>
    <row r="132" spans="1:12" x14ac:dyDescent="0.3">
      <c r="A132" s="4">
        <v>13</v>
      </c>
      <c r="B132" s="24" t="s">
        <v>596</v>
      </c>
      <c r="C132" s="120">
        <f>C106*0.01</f>
        <v>0</v>
      </c>
      <c r="D132" s="120">
        <f>D106*0.01</f>
        <v>0</v>
      </c>
      <c r="E132" s="120">
        <f>E106*0.01</f>
        <v>0</v>
      </c>
      <c r="F132" s="120">
        <f>F106*0.01</f>
        <v>0</v>
      </c>
      <c r="G132" s="16"/>
      <c r="H132" s="16"/>
      <c r="I132" s="16"/>
      <c r="J132" s="16"/>
      <c r="K132" s="16"/>
      <c r="L132" s="16"/>
    </row>
    <row r="133" spans="1:12" x14ac:dyDescent="0.3">
      <c r="A133" s="396" t="s">
        <v>597</v>
      </c>
      <c r="B133" s="335"/>
      <c r="C133" s="308">
        <f>C131-C132</f>
        <v>-364986.70832500001</v>
      </c>
      <c r="D133" s="308">
        <f>D131-D132</f>
        <v>-386502.98555750004</v>
      </c>
      <c r="E133" s="308">
        <f>E131-E132</f>
        <v>-409148.51499000005</v>
      </c>
      <c r="F133" s="308">
        <f>F131-F132</f>
        <v>-431794.04442250007</v>
      </c>
      <c r="G133" s="16"/>
      <c r="H133" s="16"/>
      <c r="I133" s="16"/>
      <c r="J133" s="16"/>
      <c r="K133" s="16"/>
      <c r="L133" s="16"/>
    </row>
    <row r="134" spans="1:12" ht="24" customHeight="1" x14ac:dyDescent="0.3">
      <c r="B134" s="307" t="s">
        <v>598</v>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errorStyle="information" showInputMessage="1" showErrorMessage="1"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xr:uid="{00000000-0002-0000-0A00-000000000000}"/>
  </dataValidations>
  <pageMargins left="0.45833333333333331" right="0.45833333333333331" top="0.74803149606299213" bottom="0.74803149606299213" header="0.31496062992125978" footer="0.31496062992125978"/>
  <pageSetup paperSize="9" fitToHeight="0" orientation="landscape" blackAndWhite="1" horizontalDpi="300" verticalDpi="300"/>
  <rowBreaks count="1" manualBreakCount="1">
    <brk id="10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3.8" x14ac:dyDescent="0.3"/>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D63"/>
  <sheetViews>
    <sheetView workbookViewId="0">
      <selection activeCell="G61" sqref="G61"/>
    </sheetView>
  </sheetViews>
  <sheetFormatPr defaultColWidth="9.109375" defaultRowHeight="13.8" x14ac:dyDescent="0.3"/>
  <cols>
    <col min="1" max="1" width="64.5546875" style="102" customWidth="1"/>
    <col min="2" max="4" width="12.88671875" style="35" customWidth="1"/>
    <col min="5" max="6" width="9.109375" style="281" customWidth="1"/>
    <col min="7" max="16384" width="9.109375" style="281"/>
  </cols>
  <sheetData>
    <row r="1" spans="1:4" s="279" customFormat="1" ht="14.4" customHeight="1" x14ac:dyDescent="0.3">
      <c r="A1" s="280" t="s">
        <v>82</v>
      </c>
      <c r="B1" s="28"/>
      <c r="C1" s="28"/>
      <c r="D1" s="28"/>
    </row>
    <row r="2" spans="1:4" s="279" customFormat="1" x14ac:dyDescent="0.3">
      <c r="A2" s="30"/>
      <c r="B2" s="28"/>
      <c r="C2" s="28"/>
      <c r="D2" s="28"/>
    </row>
    <row r="3" spans="1:4" s="279" customFormat="1" ht="38.25" customHeight="1" x14ac:dyDescent="0.3">
      <c r="A3" s="310" t="s">
        <v>83</v>
      </c>
      <c r="B3" s="312"/>
      <c r="C3" s="312"/>
      <c r="D3" s="312"/>
    </row>
    <row r="4" spans="1:4" s="279" customFormat="1" x14ac:dyDescent="0.3">
      <c r="A4" s="174"/>
      <c r="B4" s="174"/>
      <c r="C4" s="174"/>
      <c r="D4" s="174"/>
    </row>
    <row r="5" spans="1:4" s="64" customFormat="1" x14ac:dyDescent="0.3">
      <c r="A5" s="233"/>
      <c r="B5" s="227">
        <f>'1A-Bilant'!B5</f>
        <v>2018</v>
      </c>
      <c r="C5" s="227">
        <f>'1A-Bilant'!C5</f>
        <v>2019</v>
      </c>
      <c r="D5" s="227" t="str">
        <f>'1A-Bilant'!D5</f>
        <v>AN</v>
      </c>
    </row>
    <row r="6" spans="1:4" x14ac:dyDescent="0.3">
      <c r="A6" s="67" t="s">
        <v>84</v>
      </c>
      <c r="B6" s="41">
        <v>0</v>
      </c>
      <c r="C6" s="255">
        <v>2149638</v>
      </c>
      <c r="D6" s="41"/>
    </row>
    <row r="7" spans="1:4" x14ac:dyDescent="0.3">
      <c r="A7" s="67" t="s">
        <v>85</v>
      </c>
      <c r="B7" s="41">
        <v>0</v>
      </c>
      <c r="C7" s="41">
        <v>0</v>
      </c>
      <c r="D7" s="41">
        <v>0</v>
      </c>
    </row>
    <row r="8" spans="1:4" x14ac:dyDescent="0.3">
      <c r="A8" s="67" t="s">
        <v>86</v>
      </c>
      <c r="B8" s="41">
        <v>0</v>
      </c>
      <c r="C8" s="41">
        <v>0</v>
      </c>
      <c r="D8" s="41">
        <v>0</v>
      </c>
    </row>
    <row r="9" spans="1:4" x14ac:dyDescent="0.3">
      <c r="A9" s="67" t="s">
        <v>87</v>
      </c>
      <c r="B9" s="41">
        <v>0</v>
      </c>
      <c r="C9" s="41">
        <v>0</v>
      </c>
      <c r="D9" s="41">
        <v>0</v>
      </c>
    </row>
    <row r="10" spans="1:4" x14ac:dyDescent="0.3">
      <c r="A10" s="67" t="s">
        <v>88</v>
      </c>
      <c r="B10" s="41">
        <v>0</v>
      </c>
      <c r="C10" s="41">
        <v>0</v>
      </c>
      <c r="D10" s="41">
        <v>0</v>
      </c>
    </row>
    <row r="11" spans="1:4" x14ac:dyDescent="0.3">
      <c r="A11" s="67" t="s">
        <v>89</v>
      </c>
      <c r="B11" s="41">
        <v>0</v>
      </c>
      <c r="C11" s="41">
        <v>0</v>
      </c>
      <c r="D11" s="41">
        <v>0</v>
      </c>
    </row>
    <row r="12" spans="1:4" x14ac:dyDescent="0.3">
      <c r="A12" s="67" t="s">
        <v>90</v>
      </c>
      <c r="B12" s="41">
        <v>0</v>
      </c>
      <c r="C12" s="41">
        <v>0</v>
      </c>
      <c r="D12" s="41">
        <v>0</v>
      </c>
    </row>
    <row r="13" spans="1:4" s="64" customFormat="1" x14ac:dyDescent="0.3">
      <c r="A13" s="233" t="s">
        <v>91</v>
      </c>
      <c r="B13" s="36">
        <f>SUM(B6:B12)</f>
        <v>0</v>
      </c>
      <c r="C13" s="272">
        <f>SUM(C6:C12)</f>
        <v>2149638</v>
      </c>
      <c r="D13" s="36">
        <f>SUM(D6:D12)</f>
        <v>0</v>
      </c>
    </row>
    <row r="14" spans="1:4" s="64" customFormat="1" x14ac:dyDescent="0.3">
      <c r="A14" s="67" t="s">
        <v>92</v>
      </c>
      <c r="B14" s="269">
        <v>0</v>
      </c>
      <c r="C14" s="262">
        <v>39897</v>
      </c>
      <c r="D14" s="271"/>
    </row>
    <row r="15" spans="1:4" s="64" customFormat="1" x14ac:dyDescent="0.3">
      <c r="A15" s="67" t="s">
        <v>93</v>
      </c>
      <c r="B15" s="270">
        <v>0</v>
      </c>
      <c r="C15" s="262">
        <v>70814</v>
      </c>
      <c r="D15" s="271"/>
    </row>
    <row r="16" spans="1:4" s="64" customFormat="1" x14ac:dyDescent="0.3">
      <c r="A16" s="67" t="s">
        <v>94</v>
      </c>
      <c r="B16" s="269">
        <v>0</v>
      </c>
      <c r="C16" s="262">
        <v>33292</v>
      </c>
      <c r="D16" s="271">
        <v>0</v>
      </c>
    </row>
    <row r="17" spans="1:4" s="64" customFormat="1" x14ac:dyDescent="0.3">
      <c r="A17" s="67" t="s">
        <v>95</v>
      </c>
      <c r="B17" s="269">
        <v>0</v>
      </c>
      <c r="C17" s="262">
        <v>516766</v>
      </c>
      <c r="D17" s="271">
        <v>0</v>
      </c>
    </row>
    <row r="18" spans="1:4" s="64" customFormat="1" x14ac:dyDescent="0.3">
      <c r="A18" s="67" t="s">
        <v>96</v>
      </c>
      <c r="B18" s="41">
        <v>0</v>
      </c>
      <c r="C18" s="273">
        <v>0</v>
      </c>
      <c r="D18" s="41">
        <v>0</v>
      </c>
    </row>
    <row r="19" spans="1:4" s="64" customFormat="1" x14ac:dyDescent="0.3">
      <c r="A19" s="100" t="s">
        <v>97</v>
      </c>
      <c r="B19" s="41">
        <v>0</v>
      </c>
      <c r="C19" s="255">
        <v>169972</v>
      </c>
      <c r="D19" s="41"/>
    </row>
    <row r="20" spans="1:4" s="64" customFormat="1" x14ac:dyDescent="0.3">
      <c r="A20" s="67" t="s">
        <v>98</v>
      </c>
      <c r="B20" s="41"/>
      <c r="C20" s="255">
        <v>59226</v>
      </c>
      <c r="D20" s="41"/>
    </row>
    <row r="21" spans="1:4" s="64" customFormat="1" x14ac:dyDescent="0.3">
      <c r="A21" s="100" t="s">
        <v>99</v>
      </c>
      <c r="B21" s="275">
        <v>0</v>
      </c>
      <c r="C21" s="275">
        <v>0</v>
      </c>
      <c r="D21" s="41">
        <v>0</v>
      </c>
    </row>
    <row r="22" spans="1:4" s="64" customFormat="1" x14ac:dyDescent="0.3">
      <c r="A22" s="274" t="s">
        <v>100</v>
      </c>
      <c r="B22" s="262">
        <v>717</v>
      </c>
      <c r="C22" s="262">
        <v>427744</v>
      </c>
      <c r="D22" s="271"/>
    </row>
    <row r="23" spans="1:4" s="64" customFormat="1" x14ac:dyDescent="0.3">
      <c r="A23" s="100" t="s">
        <v>101</v>
      </c>
      <c r="B23" s="273">
        <v>0</v>
      </c>
      <c r="C23" s="273">
        <v>0</v>
      </c>
      <c r="D23" s="41">
        <v>0</v>
      </c>
    </row>
    <row r="24" spans="1:4" s="64" customFormat="1" x14ac:dyDescent="0.3">
      <c r="A24" s="233" t="s">
        <v>102</v>
      </c>
      <c r="B24" s="36">
        <f>B14+B15+B16+B17-B18+B19+B20+B21+B22+B23</f>
        <v>717</v>
      </c>
      <c r="C24" s="36">
        <f>C14+C15+C16+C17-C18+C19+C20+C21+C22+C23</f>
        <v>1317711</v>
      </c>
      <c r="D24" s="36">
        <f>D14+D15+D16+D17-D18+D19+D20+D21+D22+D23</f>
        <v>0</v>
      </c>
    </row>
    <row r="25" spans="1:4" s="64" customFormat="1" x14ac:dyDescent="0.3">
      <c r="A25" s="233" t="s">
        <v>103</v>
      </c>
      <c r="B25" s="36">
        <f>B13-B24</f>
        <v>-717</v>
      </c>
      <c r="C25" s="36">
        <f>C13-C24</f>
        <v>831927</v>
      </c>
      <c r="D25" s="36">
        <f>D13-D24</f>
        <v>0</v>
      </c>
    </row>
    <row r="26" spans="1:4" x14ac:dyDescent="0.3">
      <c r="A26" s="67" t="s">
        <v>104</v>
      </c>
      <c r="B26" s="42" t="str">
        <f>IF(B13-B24&gt;0,B13-B24,"")</f>
        <v/>
      </c>
      <c r="C26" s="42">
        <f>IF(C13-C24&gt;0,C13-C24,"")</f>
        <v>831927</v>
      </c>
      <c r="D26" s="42" t="str">
        <f>IF(D13-D24&gt;0,D13-D24,"")</f>
        <v/>
      </c>
    </row>
    <row r="27" spans="1:4" x14ac:dyDescent="0.3">
      <c r="A27" s="67" t="s">
        <v>105</v>
      </c>
      <c r="B27" s="42">
        <f>IF(B13-B24&lt;0,-B13+B24,"")</f>
        <v>717</v>
      </c>
      <c r="C27" s="42" t="str">
        <f>IF(C13-C24&lt;0,-C13+C24,"")</f>
        <v/>
      </c>
      <c r="D27" s="42" t="str">
        <f>IF(D13-D24&lt;0,-D13+D24,"")</f>
        <v/>
      </c>
    </row>
    <row r="28" spans="1:4" x14ac:dyDescent="0.3">
      <c r="A28" s="67" t="s">
        <v>106</v>
      </c>
      <c r="B28" s="41">
        <v>0</v>
      </c>
      <c r="C28" s="41">
        <v>0</v>
      </c>
      <c r="D28" s="41">
        <v>0</v>
      </c>
    </row>
    <row r="29" spans="1:4" x14ac:dyDescent="0.3">
      <c r="A29" s="67" t="s">
        <v>107</v>
      </c>
      <c r="B29" s="41">
        <v>0</v>
      </c>
      <c r="C29" s="41"/>
      <c r="D29" s="41"/>
    </row>
    <row r="30" spans="1:4" x14ac:dyDescent="0.3">
      <c r="A30" s="67" t="s">
        <v>108</v>
      </c>
      <c r="B30" s="41">
        <v>0</v>
      </c>
      <c r="C30" s="41">
        <v>0</v>
      </c>
      <c r="D30" s="41">
        <v>0</v>
      </c>
    </row>
    <row r="31" spans="1:4" x14ac:dyDescent="0.3">
      <c r="A31" s="67" t="s">
        <v>109</v>
      </c>
      <c r="B31" s="41">
        <v>0</v>
      </c>
      <c r="C31" s="255">
        <v>12890</v>
      </c>
      <c r="D31" s="41"/>
    </row>
    <row r="32" spans="1:4" x14ac:dyDescent="0.3">
      <c r="A32" s="233" t="s">
        <v>110</v>
      </c>
      <c r="B32" s="165">
        <f>B31+B30+B29+B28</f>
        <v>0</v>
      </c>
      <c r="C32" s="165">
        <f>C31+C30+C29+C28</f>
        <v>12890</v>
      </c>
      <c r="D32" s="165">
        <f>D31+D30+D29+D28</f>
        <v>0</v>
      </c>
    </row>
    <row r="33" spans="1:4" ht="27.6" customHeight="1" x14ac:dyDescent="0.3">
      <c r="A33" s="100" t="s">
        <v>111</v>
      </c>
      <c r="B33" s="41">
        <v>0</v>
      </c>
      <c r="C33" s="41">
        <v>0</v>
      </c>
      <c r="D33" s="41">
        <v>0</v>
      </c>
    </row>
    <row r="34" spans="1:4" x14ac:dyDescent="0.3">
      <c r="A34" s="100" t="s">
        <v>112</v>
      </c>
      <c r="B34" s="41">
        <v>0</v>
      </c>
      <c r="C34" s="255">
        <v>801</v>
      </c>
      <c r="D34" s="41"/>
    </row>
    <row r="35" spans="1:4" x14ac:dyDescent="0.3">
      <c r="A35" s="100" t="s">
        <v>113</v>
      </c>
      <c r="B35" s="41">
        <v>0</v>
      </c>
      <c r="C35" s="41">
        <v>0</v>
      </c>
      <c r="D35" s="41"/>
    </row>
    <row r="36" spans="1:4" s="64" customFormat="1" x14ac:dyDescent="0.3">
      <c r="A36" s="233" t="s">
        <v>114</v>
      </c>
      <c r="B36" s="36">
        <f>SUM(B33:B35)</f>
        <v>0</v>
      </c>
      <c r="C36" s="36">
        <f>SUM(C33:C35)</f>
        <v>801</v>
      </c>
      <c r="D36" s="36">
        <f>SUM(D33:D35)</f>
        <v>0</v>
      </c>
    </row>
    <row r="37" spans="1:4" s="64" customFormat="1" x14ac:dyDescent="0.3">
      <c r="A37" s="233" t="s">
        <v>115</v>
      </c>
      <c r="B37" s="36">
        <f>B32-B36</f>
        <v>0</v>
      </c>
      <c r="C37" s="36">
        <f>C32-C36</f>
        <v>12089</v>
      </c>
      <c r="D37" s="36">
        <f>D32-D36</f>
        <v>0</v>
      </c>
    </row>
    <row r="38" spans="1:4" x14ac:dyDescent="0.3">
      <c r="A38" s="67" t="s">
        <v>116</v>
      </c>
      <c r="B38" s="42" t="str">
        <f>IF(B32-B36&gt;0,B32-B36,"")</f>
        <v/>
      </c>
      <c r="C38" s="42">
        <f>IF(C32-C36&gt;0,C32-C36,"")</f>
        <v>12089</v>
      </c>
      <c r="D38" s="42" t="str">
        <f>IF(D32-D36&gt;0,D32-D36,"")</f>
        <v/>
      </c>
    </row>
    <row r="39" spans="1:4" x14ac:dyDescent="0.3">
      <c r="A39" s="67" t="s">
        <v>117</v>
      </c>
      <c r="B39" s="42" t="str">
        <f>IF(B32-B36&lt;0,-B32+B36,"")</f>
        <v/>
      </c>
      <c r="C39" s="42" t="str">
        <f>IF(C32-C36&lt;0,-C32+C36,"")</f>
        <v/>
      </c>
      <c r="D39" s="42" t="str">
        <f>IF(D32-D36&lt;0,-D32+D36,"")</f>
        <v/>
      </c>
    </row>
    <row r="40" spans="1:4" s="64" customFormat="1" x14ac:dyDescent="0.3">
      <c r="A40" s="233" t="s">
        <v>118</v>
      </c>
      <c r="B40" s="36">
        <f>B25+B37</f>
        <v>-717</v>
      </c>
      <c r="C40" s="36">
        <f>C25+C37</f>
        <v>844016</v>
      </c>
      <c r="D40" s="36">
        <f>D25+D37</f>
        <v>0</v>
      </c>
    </row>
    <row r="41" spans="1:4" x14ac:dyDescent="0.3">
      <c r="A41" s="67" t="s">
        <v>119</v>
      </c>
      <c r="B41" s="42" t="str">
        <f>IF(B25+B37&gt;0,B25+B37,"")</f>
        <v/>
      </c>
      <c r="C41" s="42">
        <f>IF(C25+C37&gt;0,C25+C37,"")</f>
        <v>844016</v>
      </c>
      <c r="D41" s="42" t="str">
        <f>IF(D25+D37&gt;0,D25+D37,"")</f>
        <v/>
      </c>
    </row>
    <row r="42" spans="1:4" x14ac:dyDescent="0.3">
      <c r="A42" s="67" t="s">
        <v>120</v>
      </c>
      <c r="B42" s="42">
        <f>IF(B25+B37&lt;0,-B25-B37,"")</f>
        <v>717</v>
      </c>
      <c r="C42" s="42" t="str">
        <f>IF(C25+C37&lt;0,-C25-C37,"")</f>
        <v/>
      </c>
      <c r="D42" s="42" t="str">
        <f>IF(D25+D37&lt;0,-D25-D37,"")</f>
        <v/>
      </c>
    </row>
    <row r="43" spans="1:4" s="295" customFormat="1" x14ac:dyDescent="0.3">
      <c r="A43" s="233" t="s">
        <v>121</v>
      </c>
      <c r="B43" s="43">
        <v>0</v>
      </c>
      <c r="C43" s="43">
        <v>0</v>
      </c>
      <c r="D43" s="43">
        <v>0</v>
      </c>
    </row>
    <row r="44" spans="1:4" s="295" customFormat="1" x14ac:dyDescent="0.3">
      <c r="A44" s="233" t="s">
        <v>122</v>
      </c>
      <c r="B44" s="43">
        <v>0</v>
      </c>
      <c r="C44" s="43">
        <v>0</v>
      </c>
      <c r="D44" s="43">
        <v>0</v>
      </c>
    </row>
    <row r="45" spans="1:4" s="295" customFormat="1" x14ac:dyDescent="0.3">
      <c r="A45" s="233" t="s">
        <v>123</v>
      </c>
      <c r="B45" s="36">
        <f>B43-B44</f>
        <v>0</v>
      </c>
      <c r="C45" s="36">
        <f>C43-C44</f>
        <v>0</v>
      </c>
      <c r="D45" s="36">
        <f>D43-D44</f>
        <v>0</v>
      </c>
    </row>
    <row r="46" spans="1:4" s="89" customFormat="1" x14ac:dyDescent="0.3">
      <c r="A46" s="67" t="s">
        <v>124</v>
      </c>
      <c r="B46" s="42" t="str">
        <f>IF(B43-B44&gt;0,B43-B44,"")</f>
        <v/>
      </c>
      <c r="C46" s="42" t="str">
        <f>IF(C43-C44&gt;0,C43-C44,"")</f>
        <v/>
      </c>
      <c r="D46" s="42" t="str">
        <f>IF(D43-D44&gt;0,D43-D44,"")</f>
        <v/>
      </c>
    </row>
    <row r="47" spans="1:4" s="89" customFormat="1" x14ac:dyDescent="0.3">
      <c r="A47" s="67" t="s">
        <v>125</v>
      </c>
      <c r="B47" s="42" t="str">
        <f>IF(B43-B44&lt;0,-B43+B44,"")</f>
        <v/>
      </c>
      <c r="C47" s="42" t="str">
        <f>IF(C43-C44&lt;0,-C43+C44,"")</f>
        <v/>
      </c>
      <c r="D47" s="42" t="str">
        <f>IF(D43-D44&lt;0,-D43+D44,"")</f>
        <v/>
      </c>
    </row>
    <row r="48" spans="1:4" s="295" customFormat="1" x14ac:dyDescent="0.3">
      <c r="A48" s="233" t="s">
        <v>126</v>
      </c>
      <c r="B48" s="36">
        <f>B13+B32+B43</f>
        <v>0</v>
      </c>
      <c r="C48" s="36">
        <f>C13+C32+C43</f>
        <v>2162528</v>
      </c>
      <c r="D48" s="36">
        <f>D13+D32+D43</f>
        <v>0</v>
      </c>
    </row>
    <row r="49" spans="1:4" s="295" customFormat="1" x14ac:dyDescent="0.3">
      <c r="A49" s="233" t="s">
        <v>127</v>
      </c>
      <c r="B49" s="36">
        <f>B24+B36+B44</f>
        <v>717</v>
      </c>
      <c r="C49" s="36">
        <f>C24+C36+C44</f>
        <v>1318512</v>
      </c>
      <c r="D49" s="36">
        <f>D24+D36+D44</f>
        <v>0</v>
      </c>
    </row>
    <row r="50" spans="1:4" s="295" customFormat="1" x14ac:dyDescent="0.3">
      <c r="A50" s="233" t="s">
        <v>128</v>
      </c>
      <c r="B50" s="36">
        <f>B48-B49</f>
        <v>-717</v>
      </c>
      <c r="C50" s="36">
        <f>C48-C49</f>
        <v>844016</v>
      </c>
      <c r="D50" s="36">
        <f>D48-D49</f>
        <v>0</v>
      </c>
    </row>
    <row r="51" spans="1:4" s="89" customFormat="1" x14ac:dyDescent="0.3">
      <c r="A51" s="67" t="s">
        <v>129</v>
      </c>
      <c r="B51" s="42" t="str">
        <f>IF(B48-B49&gt;0,B48-B49,"")</f>
        <v/>
      </c>
      <c r="C51" s="42">
        <f>IF(C48-C49&gt;0,C48-C49,"")</f>
        <v>844016</v>
      </c>
      <c r="D51" s="42" t="str">
        <f>IF(D48-D49&gt;0,D48-D49,"")</f>
        <v/>
      </c>
    </row>
    <row r="52" spans="1:4" s="89" customFormat="1" x14ac:dyDescent="0.3">
      <c r="A52" s="67" t="s">
        <v>130</v>
      </c>
      <c r="B52" s="42">
        <f>IF(B48-B49&lt;0,-B48+B49,"")</f>
        <v>717</v>
      </c>
      <c r="C52" s="42" t="str">
        <f>IF(C48-C49&lt;0,-C48+C49,"")</f>
        <v/>
      </c>
      <c r="D52" s="42" t="str">
        <f>IF(D48-D49&lt;0,-D48+D49,"")</f>
        <v/>
      </c>
    </row>
    <row r="53" spans="1:4" s="89" customFormat="1" x14ac:dyDescent="0.3">
      <c r="A53" s="67" t="s">
        <v>131</v>
      </c>
      <c r="B53" s="41">
        <v>0</v>
      </c>
      <c r="C53" s="41">
        <v>0</v>
      </c>
      <c r="D53" s="41">
        <v>0</v>
      </c>
    </row>
    <row r="54" spans="1:4" s="89" customFormat="1" x14ac:dyDescent="0.3">
      <c r="A54" s="67" t="s">
        <v>132</v>
      </c>
      <c r="B54" s="41">
        <v>0</v>
      </c>
      <c r="C54" s="255">
        <v>21609</v>
      </c>
      <c r="D54" s="41"/>
    </row>
    <row r="55" spans="1:4" s="295" customFormat="1" x14ac:dyDescent="0.3">
      <c r="A55" s="233" t="s">
        <v>133</v>
      </c>
      <c r="B55" s="36">
        <f>B50-B53-B54</f>
        <v>-717</v>
      </c>
      <c r="C55" s="36">
        <f>C50-C53-C54</f>
        <v>822407</v>
      </c>
      <c r="D55" s="36">
        <f>D50-D53-D54</f>
        <v>0</v>
      </c>
    </row>
    <row r="56" spans="1:4" s="89" customFormat="1" x14ac:dyDescent="0.3">
      <c r="A56" s="67" t="s">
        <v>134</v>
      </c>
      <c r="B56" s="42" t="str">
        <f>IF(B55&gt;=0,B55,"")</f>
        <v/>
      </c>
      <c r="C56" s="42">
        <f>IF(C55&gt;=0,C55,"")</f>
        <v>822407</v>
      </c>
      <c r="D56" s="42">
        <f>IF(D55&gt;=0,D55,"")</f>
        <v>0</v>
      </c>
    </row>
    <row r="57" spans="1:4" s="89" customFormat="1" x14ac:dyDescent="0.3">
      <c r="A57" s="67" t="s">
        <v>135</v>
      </c>
      <c r="B57" s="42">
        <f>IF(B55&lt;0,-B55,"")</f>
        <v>717</v>
      </c>
      <c r="C57" s="42" t="str">
        <f>IF(C55&lt;0,-C55,"")</f>
        <v/>
      </c>
      <c r="D57" s="42" t="str">
        <f>IF(D55&lt;0,-D55,"")</f>
        <v/>
      </c>
    </row>
    <row r="58" spans="1:4" s="89" customFormat="1" x14ac:dyDescent="0.3">
      <c r="A58" s="101"/>
      <c r="B58" s="35"/>
      <c r="C58" s="35"/>
      <c r="D58" s="35"/>
    </row>
    <row r="63" spans="1:4" x14ac:dyDescent="0.3">
      <c r="C63" s="276"/>
    </row>
  </sheetData>
  <mergeCells count="1">
    <mergeCell ref="A3:D3"/>
  </mergeCells>
  <pageMargins left="0.54166666666666663" right="0.46875" top="0.75" bottom="0.75" header="0.3" footer="0.3"/>
  <pageSetup paperSize="9" fitToHeight="0" orientation="portrait" blackAndWhite="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Q98"/>
  <sheetViews>
    <sheetView workbookViewId="0">
      <selection sqref="A1:D1"/>
    </sheetView>
  </sheetViews>
  <sheetFormatPr defaultColWidth="9.109375" defaultRowHeight="13.8" x14ac:dyDescent="0.3"/>
  <cols>
    <col min="1" max="1" width="26.88671875" style="307" customWidth="1"/>
    <col min="2" max="4" width="9.109375" style="92" customWidth="1"/>
    <col min="5" max="5" width="2" style="307" customWidth="1"/>
    <col min="6" max="6" width="27.6640625" style="307" customWidth="1"/>
    <col min="7" max="9" width="7.5546875" style="59" customWidth="1"/>
    <col min="10" max="10" width="1.5546875" style="307" customWidth="1"/>
    <col min="11" max="11" width="27.44140625" style="307" customWidth="1"/>
    <col min="12" max="12" width="9.5546875" style="59" bestFit="1" customWidth="1"/>
    <col min="13" max="13" width="7.6640625" style="59" customWidth="1"/>
    <col min="14" max="15" width="9.109375" style="230" customWidth="1"/>
    <col min="16" max="16" width="10.44140625" style="231" customWidth="1"/>
    <col min="17" max="17" width="9.109375" style="231" customWidth="1"/>
    <col min="18" max="19" width="9.109375" style="281" customWidth="1"/>
    <col min="20" max="16384" width="9.109375" style="281"/>
  </cols>
  <sheetData>
    <row r="1" spans="1:17" ht="14.4" customHeight="1" x14ac:dyDescent="0.3">
      <c r="A1" s="313" t="s">
        <v>136</v>
      </c>
      <c r="B1" s="314"/>
      <c r="C1" s="314"/>
      <c r="D1" s="314"/>
    </row>
    <row r="2" spans="1:17" x14ac:dyDescent="0.3">
      <c r="A2" s="97"/>
      <c r="B2" s="97"/>
      <c r="C2" s="97"/>
      <c r="D2" s="97"/>
      <c r="F2" s="97"/>
      <c r="G2" s="97"/>
      <c r="H2" s="97"/>
      <c r="I2" s="97"/>
      <c r="K2" s="97"/>
      <c r="L2" s="97"/>
      <c r="M2" s="97"/>
    </row>
    <row r="3" spans="1:17" ht="24" customHeight="1" x14ac:dyDescent="0.3">
      <c r="A3" s="228" t="s">
        <v>137</v>
      </c>
      <c r="B3" s="229">
        <f>'1A-Bilant'!B5</f>
        <v>2018</v>
      </c>
      <c r="C3" s="229">
        <f>'1A-Bilant'!C5</f>
        <v>2019</v>
      </c>
      <c r="D3" s="229" t="str">
        <f>'1A-Bilant'!D5</f>
        <v>AN</v>
      </c>
      <c r="F3" s="228" t="s">
        <v>138</v>
      </c>
      <c r="G3" s="229">
        <f>'1A-Bilant'!B5</f>
        <v>2018</v>
      </c>
      <c r="H3" s="229">
        <f>'1A-Bilant'!C5</f>
        <v>2019</v>
      </c>
      <c r="I3" s="229" t="str">
        <f>'1A-Bilant'!D5</f>
        <v>AN</v>
      </c>
      <c r="K3" s="228" t="s">
        <v>139</v>
      </c>
      <c r="L3" s="229">
        <f>'1A-Bilant'!C5</f>
        <v>2019</v>
      </c>
      <c r="M3" s="229" t="str">
        <f>'1A-Bilant'!D5</f>
        <v>AN</v>
      </c>
    </row>
    <row r="4" spans="1:17" s="49" customFormat="1" ht="15.6" customHeight="1" x14ac:dyDescent="0.3">
      <c r="A4" s="228" t="s">
        <v>140</v>
      </c>
      <c r="B4" s="44">
        <f>'1A-Bilant'!B18</f>
        <v>19269</v>
      </c>
      <c r="C4" s="44">
        <f>'1A-Bilant'!C18</f>
        <v>843469</v>
      </c>
      <c r="D4" s="44">
        <f>'1A-Bilant'!D18</f>
        <v>0</v>
      </c>
      <c r="E4" s="97"/>
      <c r="F4" s="228" t="s">
        <v>140</v>
      </c>
      <c r="G4" s="46">
        <f t="shared" ref="G4:G22" si="0">IFERROR(B4/B$21,"")</f>
        <v>0.78703590246293342</v>
      </c>
      <c r="H4" s="46">
        <f t="shared" ref="H4:H22" si="1">IFERROR(C4/C$21,"")</f>
        <v>0.83773553797807798</v>
      </c>
      <c r="I4" s="46" t="str">
        <f t="shared" ref="I4:I22" si="2">IFERROR(D4/D$21,"")</f>
        <v/>
      </c>
      <c r="J4" s="97"/>
      <c r="K4" s="228" t="s">
        <v>140</v>
      </c>
      <c r="L4" s="46">
        <f t="shared" ref="L4:L22" si="3">IFERROR((C4-B4)/B4,"")</f>
        <v>42.773366547303958</v>
      </c>
      <c r="M4" s="46">
        <f t="shared" ref="M4:M22" si="4">IFERROR((D4-C4)/C4,"")</f>
        <v>-1</v>
      </c>
      <c r="N4" s="47"/>
      <c r="O4" s="47"/>
      <c r="P4" s="48"/>
      <c r="Q4" s="48"/>
    </row>
    <row r="5" spans="1:17" s="49" customFormat="1" ht="15.6" customHeight="1" x14ac:dyDescent="0.3">
      <c r="A5" s="228" t="s">
        <v>141</v>
      </c>
      <c r="B5" s="44">
        <f>SUM(B6:B9)</f>
        <v>5214</v>
      </c>
      <c r="C5" s="44">
        <f>SUM(C6:C9)</f>
        <v>163375</v>
      </c>
      <c r="D5" s="44">
        <f>SUM(D6:D9)</f>
        <v>0</v>
      </c>
      <c r="E5" s="97"/>
      <c r="F5" s="228" t="s">
        <v>141</v>
      </c>
      <c r="G5" s="46">
        <f t="shared" si="0"/>
        <v>0.21296409753706655</v>
      </c>
      <c r="H5" s="46">
        <f t="shared" si="1"/>
        <v>0.16226446202192196</v>
      </c>
      <c r="I5" s="46" t="str">
        <f t="shared" si="2"/>
        <v/>
      </c>
      <c r="J5" s="97"/>
      <c r="K5" s="228" t="s">
        <v>141</v>
      </c>
      <c r="L5" s="46">
        <f t="shared" si="3"/>
        <v>30.33390870732643</v>
      </c>
      <c r="M5" s="46">
        <f t="shared" si="4"/>
        <v>-1</v>
      </c>
      <c r="N5" s="47"/>
      <c r="O5" s="47"/>
      <c r="P5" s="48"/>
      <c r="Q5" s="48"/>
    </row>
    <row r="6" spans="1:17" s="49" customFormat="1" ht="15.6" customHeight="1" x14ac:dyDescent="0.3">
      <c r="A6" s="50" t="s">
        <v>142</v>
      </c>
      <c r="B6" s="51">
        <f>'1A-Bilant'!B25</f>
        <v>0</v>
      </c>
      <c r="C6" s="51">
        <f>'1A-Bilant'!C25</f>
        <v>63993</v>
      </c>
      <c r="D6" s="51">
        <f>'1A-Bilant'!D25</f>
        <v>0</v>
      </c>
      <c r="E6" s="97"/>
      <c r="F6" s="50" t="s">
        <v>142</v>
      </c>
      <c r="G6" s="45">
        <f t="shared" si="0"/>
        <v>0</v>
      </c>
      <c r="H6" s="45">
        <f t="shared" si="1"/>
        <v>6.3558008986496425E-2</v>
      </c>
      <c r="I6" s="45" t="str">
        <f t="shared" si="2"/>
        <v/>
      </c>
      <c r="J6" s="307"/>
      <c r="K6" s="50" t="s">
        <v>142</v>
      </c>
      <c r="L6" s="45" t="str">
        <f t="shared" si="3"/>
        <v/>
      </c>
      <c r="M6" s="45">
        <f t="shared" si="4"/>
        <v>-1</v>
      </c>
      <c r="N6" s="230"/>
      <c r="O6" s="47"/>
      <c r="P6" s="48"/>
      <c r="Q6" s="48"/>
    </row>
    <row r="7" spans="1:17" s="49" customFormat="1" ht="15.6" customHeight="1" x14ac:dyDescent="0.3">
      <c r="A7" s="50" t="s">
        <v>143</v>
      </c>
      <c r="B7" s="51">
        <f>'1A-Bilant'!B26</f>
        <v>0</v>
      </c>
      <c r="C7" s="51">
        <f>'1A-Bilant'!C26</f>
        <v>84392</v>
      </c>
      <c r="D7" s="51">
        <f>'1A-Bilant'!D26</f>
        <v>0</v>
      </c>
      <c r="E7" s="97"/>
      <c r="F7" s="50" t="s">
        <v>143</v>
      </c>
      <c r="G7" s="45">
        <f t="shared" si="0"/>
        <v>0</v>
      </c>
      <c r="H7" s="45">
        <f t="shared" si="1"/>
        <v>8.3818347231547297E-2</v>
      </c>
      <c r="I7" s="45" t="str">
        <f t="shared" si="2"/>
        <v/>
      </c>
      <c r="J7" s="307"/>
      <c r="K7" s="50" t="s">
        <v>143</v>
      </c>
      <c r="L7" s="45" t="str">
        <f t="shared" si="3"/>
        <v/>
      </c>
      <c r="M7" s="45">
        <f t="shared" si="4"/>
        <v>-1</v>
      </c>
      <c r="N7" s="230"/>
      <c r="O7" s="47"/>
      <c r="P7" s="48"/>
      <c r="Q7" s="48"/>
    </row>
    <row r="8" spans="1:17" s="49" customFormat="1" ht="15" customHeight="1" x14ac:dyDescent="0.3">
      <c r="A8" s="50" t="s">
        <v>144</v>
      </c>
      <c r="B8" s="51">
        <f>'1A-Bilant'!B30</f>
        <v>0</v>
      </c>
      <c r="C8" s="51">
        <f>'1A-Bilant'!C30</f>
        <v>0</v>
      </c>
      <c r="D8" s="51">
        <f>'1A-Bilant'!D30</f>
        <v>0</v>
      </c>
      <c r="E8" s="97"/>
      <c r="F8" s="50" t="s">
        <v>144</v>
      </c>
      <c r="G8" s="45">
        <f t="shared" si="0"/>
        <v>0</v>
      </c>
      <c r="H8" s="45">
        <f t="shared" si="1"/>
        <v>0</v>
      </c>
      <c r="I8" s="45" t="str">
        <f t="shared" si="2"/>
        <v/>
      </c>
      <c r="J8" s="307"/>
      <c r="K8" s="50" t="s">
        <v>144</v>
      </c>
      <c r="L8" s="45" t="str">
        <f t="shared" si="3"/>
        <v/>
      </c>
      <c r="M8" s="45" t="str">
        <f t="shared" si="4"/>
        <v/>
      </c>
      <c r="N8" s="230"/>
      <c r="O8" s="47"/>
      <c r="P8" s="48"/>
      <c r="Q8" s="48"/>
    </row>
    <row r="9" spans="1:17" s="49" customFormat="1" ht="15.6" customHeight="1" x14ac:dyDescent="0.3">
      <c r="A9" s="50" t="s">
        <v>145</v>
      </c>
      <c r="B9" s="51">
        <f>'1A-Bilant'!B27+'1A-Bilant'!B28</f>
        <v>5214</v>
      </c>
      <c r="C9" s="51">
        <f>'1A-Bilant'!C27+'1A-Bilant'!C28</f>
        <v>14990</v>
      </c>
      <c r="D9" s="51">
        <f>'1A-Bilant'!D27+'1A-Bilant'!D28</f>
        <v>0</v>
      </c>
      <c r="E9" s="97"/>
      <c r="F9" s="50" t="s">
        <v>145</v>
      </c>
      <c r="G9" s="45">
        <f t="shared" si="0"/>
        <v>0.21296409753706655</v>
      </c>
      <c r="H9" s="45">
        <f t="shared" si="1"/>
        <v>1.4888105803878258E-2</v>
      </c>
      <c r="I9" s="45" t="str">
        <f t="shared" si="2"/>
        <v/>
      </c>
      <c r="J9" s="307"/>
      <c r="K9" s="50" t="s">
        <v>145</v>
      </c>
      <c r="L9" s="45">
        <f t="shared" si="3"/>
        <v>1.874952052167242</v>
      </c>
      <c r="M9" s="45">
        <f t="shared" si="4"/>
        <v>-1</v>
      </c>
      <c r="N9" s="230"/>
      <c r="O9" s="47"/>
      <c r="P9" s="48"/>
      <c r="Q9" s="48"/>
    </row>
    <row r="10" spans="1:17" s="49" customFormat="1" ht="15.6" customHeight="1" x14ac:dyDescent="0.3">
      <c r="A10" s="228" t="s">
        <v>146</v>
      </c>
      <c r="B10" s="44">
        <f>B4+B5</f>
        <v>24483</v>
      </c>
      <c r="C10" s="44">
        <f>C4+C5</f>
        <v>1006844</v>
      </c>
      <c r="D10" s="44">
        <f>D4+D5</f>
        <v>0</v>
      </c>
      <c r="E10" s="97"/>
      <c r="F10" s="228" t="s">
        <v>146</v>
      </c>
      <c r="G10" s="46">
        <f t="shared" si="0"/>
        <v>1</v>
      </c>
      <c r="H10" s="46">
        <f t="shared" si="1"/>
        <v>1</v>
      </c>
      <c r="I10" s="46" t="str">
        <f t="shared" si="2"/>
        <v/>
      </c>
      <c r="J10" s="97"/>
      <c r="K10" s="228" t="s">
        <v>146</v>
      </c>
      <c r="L10" s="46">
        <f t="shared" si="3"/>
        <v>40.124208634562756</v>
      </c>
      <c r="M10" s="46">
        <f t="shared" si="4"/>
        <v>-1</v>
      </c>
      <c r="N10" s="47"/>
      <c r="O10" s="47"/>
      <c r="P10" s="48"/>
      <c r="Q10" s="48"/>
    </row>
    <row r="11" spans="1:17" s="49" customFormat="1" ht="15.6" customHeight="1" x14ac:dyDescent="0.3">
      <c r="A11" s="228" t="s">
        <v>147</v>
      </c>
      <c r="B11" s="44">
        <f>SUM(B12:B15)</f>
        <v>25000</v>
      </c>
      <c r="C11" s="44">
        <f>SUM(C12:C15)</f>
        <v>71854</v>
      </c>
      <c r="D11" s="44">
        <f>SUM(D12:D15)</f>
        <v>0</v>
      </c>
      <c r="E11" s="97"/>
      <c r="F11" s="228" t="s">
        <v>147</v>
      </c>
      <c r="G11" s="46">
        <f t="shared" si="0"/>
        <v>1.0211166932157008</v>
      </c>
      <c r="H11" s="46">
        <f t="shared" si="1"/>
        <v>7.1365574011465524E-2</v>
      </c>
      <c r="I11" s="46" t="str">
        <f t="shared" si="2"/>
        <v/>
      </c>
      <c r="J11" s="97"/>
      <c r="K11" s="228" t="s">
        <v>147</v>
      </c>
      <c r="L11" s="46">
        <f t="shared" si="3"/>
        <v>1.87416</v>
      </c>
      <c r="M11" s="46">
        <f t="shared" si="4"/>
        <v>-1</v>
      </c>
      <c r="N11" s="47"/>
      <c r="O11" s="47"/>
      <c r="P11" s="48"/>
      <c r="Q11" s="48"/>
    </row>
    <row r="12" spans="1:17" s="232" customFormat="1" ht="15.6" customHeight="1" x14ac:dyDescent="0.3">
      <c r="A12" s="50" t="s">
        <v>148</v>
      </c>
      <c r="B12" s="51">
        <f>'1A-Bilant'!B34+'1A-Bilant'!B35</f>
        <v>0</v>
      </c>
      <c r="C12" s="51">
        <f>'1A-Bilant'!C34+'1A-Bilant'!C35</f>
        <v>0</v>
      </c>
      <c r="D12" s="51">
        <f>'1A-Bilant'!D34+'1A-Bilant'!D35</f>
        <v>0</v>
      </c>
      <c r="E12" s="307"/>
      <c r="F12" s="50" t="s">
        <v>148</v>
      </c>
      <c r="G12" s="45">
        <f t="shared" si="0"/>
        <v>0</v>
      </c>
      <c r="H12" s="45">
        <f t="shared" si="1"/>
        <v>0</v>
      </c>
      <c r="I12" s="45" t="str">
        <f t="shared" si="2"/>
        <v/>
      </c>
      <c r="J12" s="307"/>
      <c r="K12" s="50" t="s">
        <v>148</v>
      </c>
      <c r="L12" s="45" t="str">
        <f t="shared" si="3"/>
        <v/>
      </c>
      <c r="M12" s="45" t="str">
        <f t="shared" si="4"/>
        <v/>
      </c>
      <c r="N12" s="230"/>
      <c r="O12" s="230"/>
      <c r="P12" s="231"/>
      <c r="Q12" s="231"/>
    </row>
    <row r="13" spans="1:17" s="232" customFormat="1" ht="15.6" customHeight="1" x14ac:dyDescent="0.3">
      <c r="A13" s="50" t="s">
        <v>149</v>
      </c>
      <c r="B13" s="51">
        <f>'1A-Bilant'!B37+'1A-Bilant'!B38</f>
        <v>0</v>
      </c>
      <c r="C13" s="51">
        <f>'1A-Bilant'!C37+'1A-Bilant'!C38</f>
        <v>25167</v>
      </c>
      <c r="D13" s="51">
        <f>'1A-Bilant'!D37+'1A-Bilant'!D38</f>
        <v>0</v>
      </c>
      <c r="E13" s="307"/>
      <c r="F13" s="50" t="s">
        <v>149</v>
      </c>
      <c r="G13" s="45">
        <f t="shared" si="0"/>
        <v>0</v>
      </c>
      <c r="H13" s="45">
        <f t="shared" si="1"/>
        <v>2.4995927869660046E-2</v>
      </c>
      <c r="I13" s="45" t="str">
        <f t="shared" si="2"/>
        <v/>
      </c>
      <c r="J13" s="307"/>
      <c r="K13" s="50" t="s">
        <v>149</v>
      </c>
      <c r="L13" s="45" t="str">
        <f t="shared" si="3"/>
        <v/>
      </c>
      <c r="M13" s="45">
        <f t="shared" si="4"/>
        <v>-1</v>
      </c>
      <c r="N13" s="230"/>
      <c r="O13" s="230"/>
      <c r="P13" s="231"/>
      <c r="Q13" s="231"/>
    </row>
    <row r="14" spans="1:17" s="232" customFormat="1" ht="15.6" customHeight="1" x14ac:dyDescent="0.3">
      <c r="A14" s="50" t="s">
        <v>150</v>
      </c>
      <c r="B14" s="51">
        <f>'1A-Bilant'!B36+'1A-Bilant'!B39+'1A-Bilant'!B40+'1A-Bilant'!B41</f>
        <v>25000</v>
      </c>
      <c r="C14" s="51">
        <f>'1A-Bilant'!C36+'1A-Bilant'!C39+'1A-Bilant'!C40+'1A-Bilant'!C41</f>
        <v>46687</v>
      </c>
      <c r="D14" s="51">
        <f>'1A-Bilant'!D36+'1A-Bilant'!D39+'1A-Bilant'!D40+'1A-Bilant'!D41</f>
        <v>0</v>
      </c>
      <c r="E14" s="307"/>
      <c r="F14" s="50" t="s">
        <v>150</v>
      </c>
      <c r="G14" s="45">
        <f t="shared" si="0"/>
        <v>1.0211166932157008</v>
      </c>
      <c r="H14" s="45">
        <f t="shared" si="1"/>
        <v>4.6369646141805484E-2</v>
      </c>
      <c r="I14" s="45" t="str">
        <f t="shared" si="2"/>
        <v/>
      </c>
      <c r="J14" s="307"/>
      <c r="K14" s="50" t="s">
        <v>150</v>
      </c>
      <c r="L14" s="45">
        <f t="shared" si="3"/>
        <v>0.86748000000000003</v>
      </c>
      <c r="M14" s="45">
        <f t="shared" si="4"/>
        <v>-1</v>
      </c>
      <c r="N14" s="230"/>
      <c r="O14" s="230"/>
      <c r="P14" s="231"/>
      <c r="Q14" s="231"/>
    </row>
    <row r="15" spans="1:17" s="232" customFormat="1" ht="15.6" customHeight="1" x14ac:dyDescent="0.3">
      <c r="A15" s="50" t="s">
        <v>151</v>
      </c>
      <c r="B15" s="51">
        <f>'1A-Bilant'!B56</f>
        <v>0</v>
      </c>
      <c r="C15" s="51">
        <f>'1A-Bilant'!C56</f>
        <v>0</v>
      </c>
      <c r="D15" s="51">
        <f>'1A-Bilant'!D56</f>
        <v>0</v>
      </c>
      <c r="E15" s="307"/>
      <c r="F15" s="50" t="s">
        <v>151</v>
      </c>
      <c r="G15" s="45">
        <f t="shared" si="0"/>
        <v>0</v>
      </c>
      <c r="H15" s="45">
        <f t="shared" si="1"/>
        <v>0</v>
      </c>
      <c r="I15" s="45" t="str">
        <f t="shared" si="2"/>
        <v/>
      </c>
      <c r="J15" s="307"/>
      <c r="K15" s="50" t="s">
        <v>151</v>
      </c>
      <c r="L15" s="45" t="str">
        <f t="shared" si="3"/>
        <v/>
      </c>
      <c r="M15" s="45" t="str">
        <f t="shared" si="4"/>
        <v/>
      </c>
      <c r="N15" s="230"/>
      <c r="O15" s="230"/>
      <c r="P15" s="231"/>
      <c r="Q15" s="231"/>
    </row>
    <row r="16" spans="1:17" s="49" customFormat="1" ht="15.6" customHeight="1" x14ac:dyDescent="0.3">
      <c r="A16" s="228" t="s">
        <v>152</v>
      </c>
      <c r="B16" s="44">
        <f>SUM(B17:B19)</f>
        <v>0</v>
      </c>
      <c r="C16" s="44">
        <f>SUM(C17:C19)</f>
        <v>113100</v>
      </c>
      <c r="D16" s="44">
        <f>SUM(D17:D19)</f>
        <v>0</v>
      </c>
      <c r="E16" s="97"/>
      <c r="F16" s="228" t="s">
        <v>152</v>
      </c>
      <c r="G16" s="46">
        <f t="shared" si="0"/>
        <v>0</v>
      </c>
      <c r="H16" s="46">
        <f t="shared" si="1"/>
        <v>0.11233120523139632</v>
      </c>
      <c r="I16" s="46" t="str">
        <f t="shared" si="2"/>
        <v/>
      </c>
      <c r="J16" s="97"/>
      <c r="K16" s="228" t="s">
        <v>152</v>
      </c>
      <c r="L16" s="46" t="str">
        <f t="shared" si="3"/>
        <v/>
      </c>
      <c r="M16" s="46">
        <f t="shared" si="4"/>
        <v>-1</v>
      </c>
      <c r="N16" s="47"/>
      <c r="O16" s="47"/>
      <c r="P16" s="48"/>
      <c r="Q16" s="48"/>
    </row>
    <row r="17" spans="1:17" s="49" customFormat="1" ht="15.6" customHeight="1" x14ac:dyDescent="0.3">
      <c r="A17" s="50" t="s">
        <v>153</v>
      </c>
      <c r="B17" s="51">
        <f>'1A-Bilant'!B46+'1A-Bilant'!B47</f>
        <v>0</v>
      </c>
      <c r="C17" s="51">
        <f>'1A-Bilant'!C46+'1A-Bilant'!C47</f>
        <v>113100</v>
      </c>
      <c r="D17" s="51">
        <f>'1A-Bilant'!D46+'1A-Bilant'!D47</f>
        <v>0</v>
      </c>
      <c r="E17" s="97"/>
      <c r="F17" s="228" t="s">
        <v>153</v>
      </c>
      <c r="G17" s="46">
        <f t="shared" si="0"/>
        <v>0</v>
      </c>
      <c r="H17" s="46">
        <f t="shared" si="1"/>
        <v>0.11233120523139632</v>
      </c>
      <c r="I17" s="46" t="str">
        <f t="shared" si="2"/>
        <v/>
      </c>
      <c r="J17" s="97"/>
      <c r="K17" s="228" t="s">
        <v>153</v>
      </c>
      <c r="L17" s="46" t="str">
        <f t="shared" si="3"/>
        <v/>
      </c>
      <c r="M17" s="46">
        <f t="shared" si="4"/>
        <v>-1</v>
      </c>
      <c r="N17" s="47"/>
      <c r="O17" s="47"/>
      <c r="P17" s="216"/>
      <c r="Q17" s="48"/>
    </row>
    <row r="18" spans="1:17" s="232" customFormat="1" ht="15.6" customHeight="1" x14ac:dyDescent="0.3">
      <c r="A18" s="50" t="s">
        <v>154</v>
      </c>
      <c r="B18" s="51">
        <f>SUM('1A-Bilant'!B48:B53)</f>
        <v>0</v>
      </c>
      <c r="C18" s="51">
        <f>SUM('1A-Bilant'!C48:C53)</f>
        <v>0</v>
      </c>
      <c r="D18" s="51">
        <f>SUM('1A-Bilant'!D48:D53)</f>
        <v>0</v>
      </c>
      <c r="E18" s="307"/>
      <c r="F18" s="50" t="s">
        <v>154</v>
      </c>
      <c r="G18" s="45">
        <f t="shared" si="0"/>
        <v>0</v>
      </c>
      <c r="H18" s="45">
        <f t="shared" si="1"/>
        <v>0</v>
      </c>
      <c r="I18" s="45" t="str">
        <f t="shared" si="2"/>
        <v/>
      </c>
      <c r="J18" s="307"/>
      <c r="K18" s="50" t="s">
        <v>154</v>
      </c>
      <c r="L18" s="45" t="str">
        <f t="shared" si="3"/>
        <v/>
      </c>
      <c r="M18" s="45" t="str">
        <f t="shared" si="4"/>
        <v/>
      </c>
      <c r="N18" s="230"/>
      <c r="O18" s="230"/>
      <c r="P18" s="231"/>
      <c r="Q18" s="231"/>
    </row>
    <row r="19" spans="1:17" s="232" customFormat="1" ht="15.6" customHeight="1" x14ac:dyDescent="0.3">
      <c r="A19" s="50" t="s">
        <v>155</v>
      </c>
      <c r="B19" s="51">
        <f>'1A-Bilant'!B55</f>
        <v>0</v>
      </c>
      <c r="C19" s="51">
        <f>'1A-Bilant'!C55</f>
        <v>0</v>
      </c>
      <c r="D19" s="51">
        <f>'1A-Bilant'!D55</f>
        <v>0</v>
      </c>
      <c r="E19" s="307"/>
      <c r="F19" s="50" t="s">
        <v>155</v>
      </c>
      <c r="G19" s="45">
        <f t="shared" si="0"/>
        <v>0</v>
      </c>
      <c r="H19" s="45">
        <f t="shared" si="1"/>
        <v>0</v>
      </c>
      <c r="I19" s="45" t="str">
        <f t="shared" si="2"/>
        <v/>
      </c>
      <c r="J19" s="307"/>
      <c r="K19" s="50" t="s">
        <v>155</v>
      </c>
      <c r="L19" s="45" t="str">
        <f t="shared" si="3"/>
        <v/>
      </c>
      <c r="M19" s="45" t="str">
        <f t="shared" si="4"/>
        <v/>
      </c>
      <c r="N19" s="230"/>
      <c r="O19" s="230"/>
      <c r="P19" s="231"/>
      <c r="Q19" s="231"/>
    </row>
    <row r="20" spans="1:17" s="49" customFormat="1" ht="15.6" customHeight="1" x14ac:dyDescent="0.3">
      <c r="A20" s="228" t="s">
        <v>156</v>
      </c>
      <c r="B20" s="44">
        <f>'1A-Bilant'!B89</f>
        <v>-517</v>
      </c>
      <c r="C20" s="44">
        <f>'1A-Bilant'!C89</f>
        <v>821890</v>
      </c>
      <c r="D20" s="44">
        <f>'1A-Bilant'!D89</f>
        <v>0</v>
      </c>
      <c r="E20" s="97"/>
      <c r="F20" s="228" t="s">
        <v>156</v>
      </c>
      <c r="G20" s="45">
        <f t="shared" si="0"/>
        <v>-2.1116693215700689E-2</v>
      </c>
      <c r="H20" s="46">
        <f t="shared" si="1"/>
        <v>0.81630322075713813</v>
      </c>
      <c r="I20" s="46" t="str">
        <f t="shared" si="2"/>
        <v/>
      </c>
      <c r="J20" s="97"/>
      <c r="K20" s="228" t="s">
        <v>156</v>
      </c>
      <c r="L20" s="46">
        <f t="shared" si="3"/>
        <v>-1590.7292069632495</v>
      </c>
      <c r="M20" s="46">
        <f t="shared" si="4"/>
        <v>-1</v>
      </c>
      <c r="N20" s="47"/>
      <c r="O20" s="47"/>
      <c r="P20" s="48"/>
      <c r="Q20" s="48"/>
    </row>
    <row r="21" spans="1:17" s="49" customFormat="1" ht="15.6" customHeight="1" x14ac:dyDescent="0.3">
      <c r="A21" s="228" t="str">
        <f>'1A-Bilant'!A93</f>
        <v>TOTAL ACTIV</v>
      </c>
      <c r="B21" s="44">
        <f>B4+B5</f>
        <v>24483</v>
      </c>
      <c r="C21" s="44">
        <f>C4+C5</f>
        <v>1006844</v>
      </c>
      <c r="D21" s="44">
        <f>D4+D5</f>
        <v>0</v>
      </c>
      <c r="E21" s="97"/>
      <c r="F21" s="228" t="s">
        <v>80</v>
      </c>
      <c r="G21" s="45">
        <f t="shared" si="0"/>
        <v>1</v>
      </c>
      <c r="H21" s="46">
        <f t="shared" si="1"/>
        <v>1</v>
      </c>
      <c r="I21" s="46" t="str">
        <f t="shared" si="2"/>
        <v/>
      </c>
      <c r="J21" s="97"/>
      <c r="K21" s="228" t="s">
        <v>80</v>
      </c>
      <c r="L21" s="46">
        <f t="shared" si="3"/>
        <v>40.124208634562756</v>
      </c>
      <c r="M21" s="46">
        <f t="shared" si="4"/>
        <v>-1</v>
      </c>
      <c r="N21" s="47"/>
      <c r="O21" s="47"/>
      <c r="P21" s="48"/>
      <c r="Q21" s="48"/>
    </row>
    <row r="22" spans="1:17" s="49" customFormat="1" ht="15.6" customHeight="1" x14ac:dyDescent="0.3">
      <c r="A22" s="228" t="str">
        <f>'1A-Bilant'!A94</f>
        <v>TOTAL CAPITALURI SI DATORII</v>
      </c>
      <c r="B22" s="44">
        <f>B11+B16+B20</f>
        <v>24483</v>
      </c>
      <c r="C22" s="44">
        <f>C11+C16+C20</f>
        <v>1006844</v>
      </c>
      <c r="D22" s="44">
        <f>D11+D16+D20</f>
        <v>0</v>
      </c>
      <c r="E22" s="97"/>
      <c r="F22" s="228" t="s">
        <v>81</v>
      </c>
      <c r="G22" s="45">
        <f t="shared" si="0"/>
        <v>1</v>
      </c>
      <c r="H22" s="46">
        <f t="shared" si="1"/>
        <v>1</v>
      </c>
      <c r="I22" s="46" t="str">
        <f t="shared" si="2"/>
        <v/>
      </c>
      <c r="J22" s="97"/>
      <c r="K22" s="228" t="s">
        <v>81</v>
      </c>
      <c r="L22" s="46">
        <f t="shared" si="3"/>
        <v>40.124208634562756</v>
      </c>
      <c r="M22" s="46">
        <f t="shared" si="4"/>
        <v>-1</v>
      </c>
      <c r="N22" s="47"/>
      <c r="O22" s="47"/>
      <c r="P22" s="48"/>
      <c r="Q22" s="48"/>
    </row>
    <row r="23" spans="1:17" s="49" customFormat="1" ht="15.6" customHeight="1" x14ac:dyDescent="0.3">
      <c r="A23" s="97"/>
      <c r="B23" s="52"/>
      <c r="C23" s="52"/>
      <c r="D23" s="52"/>
      <c r="E23" s="97"/>
      <c r="F23" s="97"/>
      <c r="G23" s="53"/>
      <c r="H23" s="53"/>
      <c r="I23" s="53"/>
      <c r="J23" s="97"/>
      <c r="K23" s="97"/>
      <c r="L23" s="53"/>
      <c r="M23" s="53"/>
      <c r="N23" s="47"/>
      <c r="O23" s="47"/>
      <c r="P23" s="48"/>
      <c r="Q23" s="48"/>
    </row>
    <row r="24" spans="1:17" s="232" customFormat="1" ht="24" customHeight="1" x14ac:dyDescent="0.3">
      <c r="A24" s="228" t="s">
        <v>157</v>
      </c>
      <c r="B24" s="229">
        <f>'1A-Bilant'!B5</f>
        <v>2018</v>
      </c>
      <c r="C24" s="229">
        <f>'1A-Bilant'!C5</f>
        <v>2019</v>
      </c>
      <c r="D24" s="229" t="str">
        <f>'1A-Bilant'!D5</f>
        <v>AN</v>
      </c>
      <c r="E24" s="307"/>
      <c r="F24" s="228" t="s">
        <v>158</v>
      </c>
      <c r="G24" s="229">
        <f>'1A-Bilant'!B5</f>
        <v>2018</v>
      </c>
      <c r="H24" s="229">
        <f>'1A-Bilant'!C5</f>
        <v>2019</v>
      </c>
      <c r="I24" s="229" t="str">
        <f>'1A-Bilant'!D5</f>
        <v>AN</v>
      </c>
      <c r="J24" s="307"/>
      <c r="K24" s="228" t="s">
        <v>139</v>
      </c>
      <c r="L24" s="229">
        <f>'1A-Bilant'!C5</f>
        <v>2019</v>
      </c>
      <c r="M24" s="229" t="str">
        <f>'1A-Bilant'!D5</f>
        <v>AN</v>
      </c>
      <c r="N24" s="230"/>
      <c r="O24" s="230"/>
      <c r="P24" s="231"/>
      <c r="Q24" s="231"/>
    </row>
    <row r="25" spans="1:17" s="49" customFormat="1" ht="15.6" customHeight="1" x14ac:dyDescent="0.3">
      <c r="A25" s="228" t="str">
        <f>'1B-ContPP'!A6</f>
        <v>Cifra de afaceri neta</v>
      </c>
      <c r="B25" s="44">
        <f>'1B-ContPP'!B6</f>
        <v>0</v>
      </c>
      <c r="C25" s="44">
        <f>'1B-ContPP'!C6</f>
        <v>2149638</v>
      </c>
      <c r="D25" s="44">
        <f>'1B-ContPP'!D6</f>
        <v>0</v>
      </c>
      <c r="E25" s="97"/>
      <c r="F25" s="228" t="s">
        <v>84</v>
      </c>
      <c r="G25" s="46" t="str">
        <f t="shared" ref="G25:G50" si="5">IFERROR(B25/B$25,"")</f>
        <v/>
      </c>
      <c r="H25" s="46">
        <f t="shared" ref="H25:H50" si="6">IFERROR(C25/C$25,"")</f>
        <v>1</v>
      </c>
      <c r="I25" s="46" t="str">
        <f t="shared" ref="I25:I50" si="7">IFERROR(D25/D$25,"")</f>
        <v/>
      </c>
      <c r="J25" s="97"/>
      <c r="K25" s="228" t="s">
        <v>84</v>
      </c>
      <c r="L25" s="46" t="str">
        <f t="shared" ref="L25:M30" si="8">IFERROR((C25-B25)/B25,"")</f>
        <v/>
      </c>
      <c r="M25" s="46">
        <f t="shared" si="8"/>
        <v>-1</v>
      </c>
      <c r="N25" s="47"/>
      <c r="O25" s="47"/>
      <c r="P25" s="48"/>
      <c r="Q25" s="48"/>
    </row>
    <row r="26" spans="1:17" s="232" customFormat="1" ht="15.6" customHeight="1" x14ac:dyDescent="0.3">
      <c r="A26" s="50" t="str">
        <f>'1B-ContPP'!A12</f>
        <v>Alte venituri din exploatare</v>
      </c>
      <c r="B26" s="51">
        <f>'1B-ContPP'!B12</f>
        <v>0</v>
      </c>
      <c r="C26" s="51">
        <f>'1B-ContPP'!C12</f>
        <v>0</v>
      </c>
      <c r="D26" s="51">
        <f>'1B-ContPP'!D12</f>
        <v>0</v>
      </c>
      <c r="E26" s="307"/>
      <c r="F26" s="50" t="s">
        <v>90</v>
      </c>
      <c r="G26" s="45" t="str">
        <f t="shared" si="5"/>
        <v/>
      </c>
      <c r="H26" s="45">
        <f t="shared" si="6"/>
        <v>0</v>
      </c>
      <c r="I26" s="45" t="str">
        <f t="shared" si="7"/>
        <v/>
      </c>
      <c r="J26" s="307"/>
      <c r="K26" s="50" t="s">
        <v>90</v>
      </c>
      <c r="L26" s="45" t="str">
        <f t="shared" si="8"/>
        <v/>
      </c>
      <c r="M26" s="45" t="str">
        <f t="shared" si="8"/>
        <v/>
      </c>
      <c r="N26" s="230"/>
      <c r="O26" s="230"/>
      <c r="P26" s="231"/>
      <c r="Q26" s="231"/>
    </row>
    <row r="27" spans="1:17" s="49" customFormat="1" ht="15.6" customHeight="1" x14ac:dyDescent="0.3">
      <c r="A27" s="228" t="str">
        <f>'1B-ContPP'!A13</f>
        <v>Venituri din exploatare - total</v>
      </c>
      <c r="B27" s="44">
        <f>'1B-ContPP'!B13</f>
        <v>0</v>
      </c>
      <c r="C27" s="44">
        <f>'1B-ContPP'!C13</f>
        <v>2149638</v>
      </c>
      <c r="D27" s="44">
        <f>'1B-ContPP'!D13</f>
        <v>0</v>
      </c>
      <c r="E27" s="97"/>
      <c r="F27" s="228" t="s">
        <v>91</v>
      </c>
      <c r="G27" s="46" t="str">
        <f t="shared" si="5"/>
        <v/>
      </c>
      <c r="H27" s="46">
        <f t="shared" si="6"/>
        <v>1</v>
      </c>
      <c r="I27" s="46" t="str">
        <f t="shared" si="7"/>
        <v/>
      </c>
      <c r="J27" s="97"/>
      <c r="K27" s="228" t="s">
        <v>91</v>
      </c>
      <c r="L27" s="46" t="str">
        <f t="shared" si="8"/>
        <v/>
      </c>
      <c r="M27" s="46">
        <f t="shared" si="8"/>
        <v>-1</v>
      </c>
      <c r="N27" s="47"/>
      <c r="O27" s="47"/>
      <c r="P27" s="48"/>
      <c r="Q27" s="48"/>
    </row>
    <row r="28" spans="1:17" s="232" customFormat="1" ht="15.6" customHeight="1" x14ac:dyDescent="0.3">
      <c r="A28" s="54" t="s">
        <v>159</v>
      </c>
      <c r="B28" s="51">
        <f>SUM('1B-ContPP'!B14:B19)+'1B-ContPP'!B22</f>
        <v>717</v>
      </c>
      <c r="C28" s="51">
        <f>SUM('1B-ContPP'!C14:C19)+'1B-ContPP'!C22</f>
        <v>1258485</v>
      </c>
      <c r="D28" s="51">
        <f>SUM('1B-ContPP'!D14:D19)+'1B-ContPP'!D22</f>
        <v>0</v>
      </c>
      <c r="E28" s="307"/>
      <c r="F28" s="50" t="s">
        <v>159</v>
      </c>
      <c r="G28" s="45" t="str">
        <f t="shared" si="5"/>
        <v/>
      </c>
      <c r="H28" s="45">
        <f t="shared" si="6"/>
        <v>0.58544043229604237</v>
      </c>
      <c r="I28" s="45" t="str">
        <f t="shared" si="7"/>
        <v/>
      </c>
      <c r="J28" s="307"/>
      <c r="K28" s="50" t="s">
        <v>159</v>
      </c>
      <c r="L28" s="45">
        <f t="shared" si="8"/>
        <v>1754.2092050209205</v>
      </c>
      <c r="M28" s="45">
        <f t="shared" si="8"/>
        <v>-1</v>
      </c>
      <c r="N28" s="230"/>
      <c r="O28" s="230"/>
      <c r="P28" s="231"/>
      <c r="Q28" s="231"/>
    </row>
    <row r="29" spans="1:17" s="58" customFormat="1" ht="36" customHeight="1" x14ac:dyDescent="0.3">
      <c r="A29" s="50" t="s">
        <v>160</v>
      </c>
      <c r="B29" s="51">
        <f>'1B-ContPP'!B20+'1B-ContPP'!B21+'1B-ContPP'!B23</f>
        <v>0</v>
      </c>
      <c r="C29" s="51">
        <f>'1B-ContPP'!C20+'1B-ContPP'!C21+'1B-ContPP'!C23</f>
        <v>59226</v>
      </c>
      <c r="D29" s="51">
        <f>'1B-ContPP'!D20+'1B-ContPP'!D21+'1B-ContPP'!D23</f>
        <v>0</v>
      </c>
      <c r="E29" s="55"/>
      <c r="F29" s="50" t="s">
        <v>160</v>
      </c>
      <c r="G29" s="45" t="str">
        <f t="shared" si="5"/>
        <v/>
      </c>
      <c r="H29" s="45">
        <f t="shared" si="6"/>
        <v>2.7551615667382137E-2</v>
      </c>
      <c r="I29" s="45" t="str">
        <f t="shared" si="7"/>
        <v/>
      </c>
      <c r="J29" s="307"/>
      <c r="K29" s="50" t="s">
        <v>160</v>
      </c>
      <c r="L29" s="45" t="str">
        <f t="shared" si="8"/>
        <v/>
      </c>
      <c r="M29" s="45">
        <f t="shared" si="8"/>
        <v>-1</v>
      </c>
      <c r="N29" s="56"/>
      <c r="O29" s="56"/>
      <c r="P29" s="57"/>
      <c r="Q29" s="57"/>
    </row>
    <row r="30" spans="1:17" s="49" customFormat="1" ht="15.6" customHeight="1" x14ac:dyDescent="0.3">
      <c r="A30" s="228" t="str">
        <f>'1B-ContPP'!A24</f>
        <v>Cheltuieli din exploatare - total</v>
      </c>
      <c r="B30" s="44">
        <f>'1B-ContPP'!B24</f>
        <v>717</v>
      </c>
      <c r="C30" s="44">
        <f>'1B-ContPP'!C24</f>
        <v>1317711</v>
      </c>
      <c r="D30" s="44">
        <f>'1B-ContPP'!D24</f>
        <v>0</v>
      </c>
      <c r="E30" s="97"/>
      <c r="F30" s="228" t="s">
        <v>102</v>
      </c>
      <c r="G30" s="46" t="str">
        <f t="shared" si="5"/>
        <v/>
      </c>
      <c r="H30" s="46">
        <f t="shared" si="6"/>
        <v>0.61299204796342455</v>
      </c>
      <c r="I30" s="46" t="str">
        <f t="shared" si="7"/>
        <v/>
      </c>
      <c r="J30" s="97"/>
      <c r="K30" s="228" t="s">
        <v>102</v>
      </c>
      <c r="L30" s="46">
        <f t="shared" si="8"/>
        <v>1836.8117154811716</v>
      </c>
      <c r="M30" s="46">
        <f t="shared" si="8"/>
        <v>-1</v>
      </c>
      <c r="N30" s="47"/>
      <c r="O30" s="47"/>
      <c r="P30" s="48"/>
      <c r="Q30" s="48"/>
    </row>
    <row r="31" spans="1:17" s="232" customFormat="1" ht="15.6" customHeight="1" x14ac:dyDescent="0.3">
      <c r="A31" s="228" t="str">
        <f>'1B-ContPP'!A25</f>
        <v>Rezultatul din exploatare</v>
      </c>
      <c r="B31" s="44">
        <f>'1B-ContPP'!B25</f>
        <v>-717</v>
      </c>
      <c r="C31" s="44">
        <f>'1B-ContPP'!C25</f>
        <v>831927</v>
      </c>
      <c r="D31" s="44">
        <f>'1B-ContPP'!D25</f>
        <v>0</v>
      </c>
      <c r="E31" s="307"/>
      <c r="F31" s="228" t="s">
        <v>103</v>
      </c>
      <c r="G31" s="46" t="str">
        <f t="shared" si="5"/>
        <v/>
      </c>
      <c r="H31" s="46">
        <f t="shared" si="6"/>
        <v>0.38700795203657545</v>
      </c>
      <c r="I31" s="46" t="str">
        <f t="shared" si="7"/>
        <v/>
      </c>
      <c r="J31" s="97"/>
      <c r="K31" s="228" t="s">
        <v>103</v>
      </c>
      <c r="L31" s="46">
        <f>IF(C31&gt;0,ABS((C31-B31)/B31),0)</f>
        <v>1161.2887029288702</v>
      </c>
      <c r="M31" s="46">
        <f>IF(D31&gt;0,ABS((D31-C31)/C31),0)</f>
        <v>0</v>
      </c>
      <c r="N31" s="230"/>
      <c r="O31" s="230"/>
      <c r="P31" s="231"/>
      <c r="Q31" s="231"/>
    </row>
    <row r="32" spans="1:17" s="232" customFormat="1" ht="15.6" customHeight="1" x14ac:dyDescent="0.3">
      <c r="A32" s="228" t="str">
        <f>'1B-ContPP'!A32</f>
        <v>Venituri financiare</v>
      </c>
      <c r="B32" s="44">
        <f>'1B-ContPP'!B32</f>
        <v>0</v>
      </c>
      <c r="C32" s="44">
        <f>'1B-ContPP'!C32</f>
        <v>12890</v>
      </c>
      <c r="D32" s="44">
        <f>'1B-ContPP'!D32</f>
        <v>0</v>
      </c>
      <c r="E32" s="307"/>
      <c r="F32" s="228" t="s">
        <v>110</v>
      </c>
      <c r="G32" s="46" t="str">
        <f t="shared" si="5"/>
        <v/>
      </c>
      <c r="H32" s="46">
        <f t="shared" si="6"/>
        <v>5.9963584566331629E-3</v>
      </c>
      <c r="I32" s="46" t="str">
        <f t="shared" si="7"/>
        <v/>
      </c>
      <c r="J32" s="97"/>
      <c r="K32" s="228" t="s">
        <v>110</v>
      </c>
      <c r="L32" s="46" t="str">
        <f t="shared" ref="L32:L50" si="9">IFERROR((C32-B32)/B32,"")</f>
        <v/>
      </c>
      <c r="M32" s="46">
        <f t="shared" ref="M32:M50" si="10">IFERROR((D32-C32)/C32,"")</f>
        <v>-1</v>
      </c>
      <c r="N32" s="230"/>
      <c r="O32" s="230"/>
      <c r="P32" s="231"/>
      <c r="Q32" s="231"/>
    </row>
    <row r="33" spans="1:17" s="232" customFormat="1" ht="48" customHeight="1" x14ac:dyDescent="0.3">
      <c r="A33" s="50" t="str">
        <f>'1B-ContPP'!A33</f>
        <v>Ajustări de valoare privind imobilizările financiare şi investiţiile financiare deţinute ca active circulante</v>
      </c>
      <c r="B33" s="51">
        <f>'1B-ContPP'!B33</f>
        <v>0</v>
      </c>
      <c r="C33" s="51">
        <f>'1B-ContPP'!C33</f>
        <v>0</v>
      </c>
      <c r="D33" s="51">
        <f>'1B-ContPP'!D33</f>
        <v>0</v>
      </c>
      <c r="E33" s="307"/>
      <c r="F33" s="50" t="s">
        <v>111</v>
      </c>
      <c r="G33" s="45" t="str">
        <f t="shared" si="5"/>
        <v/>
      </c>
      <c r="H33" s="45">
        <f t="shared" si="6"/>
        <v>0</v>
      </c>
      <c r="I33" s="45" t="str">
        <f t="shared" si="7"/>
        <v/>
      </c>
      <c r="J33" s="307"/>
      <c r="K33" s="50" t="s">
        <v>111</v>
      </c>
      <c r="L33" s="45" t="str">
        <f t="shared" si="9"/>
        <v/>
      </c>
      <c r="M33" s="45" t="str">
        <f t="shared" si="10"/>
        <v/>
      </c>
      <c r="N33" s="230"/>
      <c r="O33" s="230"/>
      <c r="P33" s="231"/>
      <c r="Q33" s="231"/>
    </row>
    <row r="34" spans="1:17" s="232" customFormat="1" ht="15.6" customHeight="1" x14ac:dyDescent="0.3">
      <c r="A34" s="50" t="str">
        <f>'1B-ContPP'!A34</f>
        <v xml:space="preserve">Cheltuieli privind dobânzile </v>
      </c>
      <c r="B34" s="51">
        <f>'1B-ContPP'!B34</f>
        <v>0</v>
      </c>
      <c r="C34" s="51">
        <f>'1B-ContPP'!C34</f>
        <v>801</v>
      </c>
      <c r="D34" s="51">
        <f>'1B-ContPP'!D34</f>
        <v>0</v>
      </c>
      <c r="E34" s="307"/>
      <c r="F34" s="50" t="s">
        <v>112</v>
      </c>
      <c r="G34" s="45" t="str">
        <f t="shared" si="5"/>
        <v/>
      </c>
      <c r="H34" s="45">
        <f t="shared" si="6"/>
        <v>3.7262087849209959E-4</v>
      </c>
      <c r="I34" s="45" t="str">
        <f t="shared" si="7"/>
        <v/>
      </c>
      <c r="J34" s="307"/>
      <c r="K34" s="50" t="s">
        <v>112</v>
      </c>
      <c r="L34" s="45" t="str">
        <f t="shared" si="9"/>
        <v/>
      </c>
      <c r="M34" s="45">
        <f t="shared" si="10"/>
        <v>-1</v>
      </c>
      <c r="N34" s="230"/>
      <c r="O34" s="230"/>
      <c r="P34" s="231"/>
      <c r="Q34" s="231"/>
    </row>
    <row r="35" spans="1:17" s="232" customFormat="1" ht="15.6" customHeight="1" x14ac:dyDescent="0.3">
      <c r="A35" s="50" t="str">
        <f>'1B-ContPP'!A35</f>
        <v xml:space="preserve">Alte cheltuieli financiare  </v>
      </c>
      <c r="B35" s="51">
        <f>'1B-ContPP'!B35</f>
        <v>0</v>
      </c>
      <c r="C35" s="51">
        <f>'1B-ContPP'!C35</f>
        <v>0</v>
      </c>
      <c r="D35" s="51">
        <f>'1B-ContPP'!D35</f>
        <v>0</v>
      </c>
      <c r="E35" s="307"/>
      <c r="F35" s="50" t="s">
        <v>113</v>
      </c>
      <c r="G35" s="45" t="str">
        <f t="shared" si="5"/>
        <v/>
      </c>
      <c r="H35" s="45">
        <f t="shared" si="6"/>
        <v>0</v>
      </c>
      <c r="I35" s="45" t="str">
        <f t="shared" si="7"/>
        <v/>
      </c>
      <c r="J35" s="307"/>
      <c r="K35" s="50" t="s">
        <v>113</v>
      </c>
      <c r="L35" s="45" t="str">
        <f t="shared" si="9"/>
        <v/>
      </c>
      <c r="M35" s="45" t="str">
        <f t="shared" si="10"/>
        <v/>
      </c>
      <c r="N35" s="230"/>
      <c r="O35" s="230"/>
      <c r="P35" s="231"/>
      <c r="Q35" s="231"/>
    </row>
    <row r="36" spans="1:17" s="49" customFormat="1" ht="15.6" customHeight="1" x14ac:dyDescent="0.3">
      <c r="A36" s="228" t="str">
        <f>'1B-ContPP'!A36</f>
        <v>Cheltuieli financiare</v>
      </c>
      <c r="B36" s="44">
        <f>'1B-ContPP'!B36</f>
        <v>0</v>
      </c>
      <c r="C36" s="44">
        <f>'1B-ContPP'!C36</f>
        <v>801</v>
      </c>
      <c r="D36" s="44">
        <f>'1B-ContPP'!D36</f>
        <v>0</v>
      </c>
      <c r="E36" s="97"/>
      <c r="F36" s="228" t="s">
        <v>114</v>
      </c>
      <c r="G36" s="46" t="str">
        <f t="shared" si="5"/>
        <v/>
      </c>
      <c r="H36" s="46">
        <f t="shared" si="6"/>
        <v>3.7262087849209959E-4</v>
      </c>
      <c r="I36" s="46" t="str">
        <f t="shared" si="7"/>
        <v/>
      </c>
      <c r="J36" s="97"/>
      <c r="K36" s="228" t="s">
        <v>114</v>
      </c>
      <c r="L36" s="46" t="str">
        <f t="shared" si="9"/>
        <v/>
      </c>
      <c r="M36" s="46">
        <f t="shared" si="10"/>
        <v>-1</v>
      </c>
      <c r="N36" s="47"/>
      <c r="O36" s="47"/>
      <c r="P36" s="48"/>
      <c r="Q36" s="48"/>
    </row>
    <row r="37" spans="1:17" s="232" customFormat="1" ht="15.6" customHeight="1" x14ac:dyDescent="0.3">
      <c r="A37" s="50" t="str">
        <f>'1B-ContPP'!A37</f>
        <v>Rezultatul financiar</v>
      </c>
      <c r="B37" s="51">
        <f>'1B-ContPP'!B37</f>
        <v>0</v>
      </c>
      <c r="C37" s="51">
        <f>'1B-ContPP'!C37</f>
        <v>12089</v>
      </c>
      <c r="D37" s="51">
        <f>'1B-ContPP'!D37</f>
        <v>0</v>
      </c>
      <c r="E37" s="307"/>
      <c r="F37" s="50" t="s">
        <v>115</v>
      </c>
      <c r="G37" s="45" t="str">
        <f t="shared" si="5"/>
        <v/>
      </c>
      <c r="H37" s="45">
        <f t="shared" si="6"/>
        <v>5.6237375781410638E-3</v>
      </c>
      <c r="I37" s="45" t="str">
        <f t="shared" si="7"/>
        <v/>
      </c>
      <c r="J37" s="307"/>
      <c r="K37" s="50" t="s">
        <v>115</v>
      </c>
      <c r="L37" s="45" t="str">
        <f t="shared" si="9"/>
        <v/>
      </c>
      <c r="M37" s="45">
        <f t="shared" si="10"/>
        <v>-1</v>
      </c>
      <c r="N37" s="230"/>
      <c r="O37" s="230"/>
      <c r="P37" s="231"/>
      <c r="Q37" s="231"/>
    </row>
    <row r="38" spans="1:17" s="49" customFormat="1" ht="15.6" customHeight="1" x14ac:dyDescent="0.3">
      <c r="A38" s="228" t="str">
        <f>'1B-ContPP'!A40</f>
        <v>Rezultatul curent</v>
      </c>
      <c r="B38" s="44">
        <f>'1B-ContPP'!B40</f>
        <v>-717</v>
      </c>
      <c r="C38" s="44">
        <f>'1B-ContPP'!C40</f>
        <v>844016</v>
      </c>
      <c r="D38" s="44">
        <f>'1B-ContPP'!D40</f>
        <v>0</v>
      </c>
      <c r="E38" s="97"/>
      <c r="F38" s="228" t="s">
        <v>118</v>
      </c>
      <c r="G38" s="46" t="str">
        <f t="shared" si="5"/>
        <v/>
      </c>
      <c r="H38" s="46">
        <f t="shared" si="6"/>
        <v>0.39263168961471651</v>
      </c>
      <c r="I38" s="46" t="str">
        <f t="shared" si="7"/>
        <v/>
      </c>
      <c r="J38" s="97"/>
      <c r="K38" s="228" t="s">
        <v>118</v>
      </c>
      <c r="L38" s="46">
        <f t="shared" si="9"/>
        <v>-1178.1492329149232</v>
      </c>
      <c r="M38" s="46">
        <f t="shared" si="10"/>
        <v>-1</v>
      </c>
      <c r="N38" s="47"/>
      <c r="O38" s="47"/>
      <c r="P38" s="48"/>
      <c r="Q38" s="48"/>
    </row>
    <row r="39" spans="1:17" s="49" customFormat="1" ht="15.6" customHeight="1" x14ac:dyDescent="0.3">
      <c r="A39" s="228" t="str">
        <f>'1B-ContPP'!A43</f>
        <v>Venituri extraordinare</v>
      </c>
      <c r="B39" s="44">
        <f>'1B-ContPP'!B43</f>
        <v>0</v>
      </c>
      <c r="C39" s="44">
        <f>'1B-ContPP'!C43</f>
        <v>0</v>
      </c>
      <c r="D39" s="44">
        <f>'1B-ContPP'!D43</f>
        <v>0</v>
      </c>
      <c r="E39" s="97"/>
      <c r="F39" s="228" t="s">
        <v>121</v>
      </c>
      <c r="G39" s="46" t="str">
        <f t="shared" si="5"/>
        <v/>
      </c>
      <c r="H39" s="46">
        <f t="shared" si="6"/>
        <v>0</v>
      </c>
      <c r="I39" s="46" t="str">
        <f t="shared" si="7"/>
        <v/>
      </c>
      <c r="J39" s="97"/>
      <c r="K39" s="228" t="s">
        <v>121</v>
      </c>
      <c r="L39" s="46" t="str">
        <f t="shared" si="9"/>
        <v/>
      </c>
      <c r="M39" s="46" t="str">
        <f t="shared" si="10"/>
        <v/>
      </c>
      <c r="N39" s="47"/>
      <c r="O39" s="47"/>
      <c r="P39" s="48"/>
      <c r="Q39" s="48"/>
    </row>
    <row r="40" spans="1:17" s="49" customFormat="1" ht="15.6" customHeight="1" x14ac:dyDescent="0.3">
      <c r="A40" s="228" t="str">
        <f>'1B-ContPP'!A44</f>
        <v>Cheltuieli extraordinare</v>
      </c>
      <c r="B40" s="44">
        <f>'1B-ContPP'!B44</f>
        <v>0</v>
      </c>
      <c r="C40" s="44">
        <f>'1B-ContPP'!C44</f>
        <v>0</v>
      </c>
      <c r="D40" s="44">
        <f>'1B-ContPP'!D44</f>
        <v>0</v>
      </c>
      <c r="E40" s="97"/>
      <c r="F40" s="228" t="s">
        <v>122</v>
      </c>
      <c r="G40" s="46" t="str">
        <f t="shared" si="5"/>
        <v/>
      </c>
      <c r="H40" s="46">
        <f t="shared" si="6"/>
        <v>0</v>
      </c>
      <c r="I40" s="46" t="str">
        <f t="shared" si="7"/>
        <v/>
      </c>
      <c r="J40" s="97"/>
      <c r="K40" s="228" t="s">
        <v>122</v>
      </c>
      <c r="L40" s="46" t="str">
        <f t="shared" si="9"/>
        <v/>
      </c>
      <c r="M40" s="46" t="str">
        <f t="shared" si="10"/>
        <v/>
      </c>
      <c r="N40" s="47"/>
      <c r="O40" s="47"/>
      <c r="P40" s="48"/>
      <c r="Q40" s="48"/>
    </row>
    <row r="41" spans="1:17" s="49" customFormat="1" ht="15.6" customHeight="1" x14ac:dyDescent="0.3">
      <c r="A41" s="228" t="str">
        <f>'1B-ContPP'!A45</f>
        <v>Rezultatul extraordinar</v>
      </c>
      <c r="B41" s="44">
        <f>'1B-ContPP'!B45</f>
        <v>0</v>
      </c>
      <c r="C41" s="44">
        <f>'1B-ContPP'!C45</f>
        <v>0</v>
      </c>
      <c r="D41" s="44">
        <f>'1B-ContPP'!D45</f>
        <v>0</v>
      </c>
      <c r="E41" s="97"/>
      <c r="F41" s="228" t="s">
        <v>123</v>
      </c>
      <c r="G41" s="46" t="str">
        <f t="shared" si="5"/>
        <v/>
      </c>
      <c r="H41" s="46">
        <f t="shared" si="6"/>
        <v>0</v>
      </c>
      <c r="I41" s="46" t="str">
        <f t="shared" si="7"/>
        <v/>
      </c>
      <c r="J41" s="97"/>
      <c r="K41" s="228" t="s">
        <v>123</v>
      </c>
      <c r="L41" s="46" t="str">
        <f t="shared" si="9"/>
        <v/>
      </c>
      <c r="M41" s="46" t="str">
        <f t="shared" si="10"/>
        <v/>
      </c>
      <c r="N41" s="47"/>
      <c r="O41" s="47"/>
      <c r="P41" s="48"/>
      <c r="Q41" s="48"/>
    </row>
    <row r="42" spans="1:17" s="49" customFormat="1" ht="15.6" customHeight="1" x14ac:dyDescent="0.3">
      <c r="A42" s="228" t="str">
        <f>'1B-ContPP'!A48</f>
        <v>Venituri totale</v>
      </c>
      <c r="B42" s="44">
        <f>'1B-ContPP'!B48</f>
        <v>0</v>
      </c>
      <c r="C42" s="44">
        <f>'1B-ContPP'!C48</f>
        <v>2162528</v>
      </c>
      <c r="D42" s="44">
        <f>'1B-ContPP'!D48</f>
        <v>0</v>
      </c>
      <c r="E42" s="97"/>
      <c r="F42" s="228" t="s">
        <v>126</v>
      </c>
      <c r="G42" s="46" t="str">
        <f t="shared" si="5"/>
        <v/>
      </c>
      <c r="H42" s="46">
        <f t="shared" si="6"/>
        <v>1.0059963584566332</v>
      </c>
      <c r="I42" s="46" t="str">
        <f t="shared" si="7"/>
        <v/>
      </c>
      <c r="J42" s="97"/>
      <c r="K42" s="228" t="s">
        <v>126</v>
      </c>
      <c r="L42" s="46" t="str">
        <f t="shared" si="9"/>
        <v/>
      </c>
      <c r="M42" s="46">
        <f t="shared" si="10"/>
        <v>-1</v>
      </c>
      <c r="N42" s="47"/>
      <c r="O42" s="47"/>
      <c r="P42" s="48"/>
      <c r="Q42" s="48"/>
    </row>
    <row r="43" spans="1:17" s="232" customFormat="1" ht="15.6" customHeight="1" x14ac:dyDescent="0.3">
      <c r="A43" s="228" t="str">
        <f>'1B-ContPP'!A49</f>
        <v>Cheltuieli totale</v>
      </c>
      <c r="B43" s="44">
        <f>'1B-ContPP'!B49</f>
        <v>717</v>
      </c>
      <c r="C43" s="44">
        <f>'1B-ContPP'!C49</f>
        <v>1318512</v>
      </c>
      <c r="D43" s="44">
        <f>'1B-ContPP'!D49</f>
        <v>0</v>
      </c>
      <c r="E43" s="307"/>
      <c r="F43" s="228" t="s">
        <v>127</v>
      </c>
      <c r="G43" s="46" t="str">
        <f t="shared" si="5"/>
        <v/>
      </c>
      <c r="H43" s="46">
        <f t="shared" si="6"/>
        <v>0.61336466884191665</v>
      </c>
      <c r="I43" s="46" t="str">
        <f t="shared" si="7"/>
        <v/>
      </c>
      <c r="J43" s="97"/>
      <c r="K43" s="228" t="s">
        <v>127</v>
      </c>
      <c r="L43" s="46">
        <f t="shared" si="9"/>
        <v>1837.928870292887</v>
      </c>
      <c r="M43" s="46">
        <f t="shared" si="10"/>
        <v>-1</v>
      </c>
      <c r="N43" s="230"/>
      <c r="O43" s="230"/>
      <c r="P43" s="231"/>
      <c r="Q43" s="231"/>
    </row>
    <row r="44" spans="1:17" s="49" customFormat="1" ht="15.6" customHeight="1" x14ac:dyDescent="0.3">
      <c r="A44" s="228" t="str">
        <f>'1B-ContPP'!A50</f>
        <v>Rezultatul brut</v>
      </c>
      <c r="B44" s="44">
        <f>'1B-ContPP'!B50</f>
        <v>-717</v>
      </c>
      <c r="C44" s="44">
        <f>'1B-ContPP'!C50</f>
        <v>844016</v>
      </c>
      <c r="D44" s="44">
        <f>'1B-ContPP'!D50</f>
        <v>0</v>
      </c>
      <c r="E44" s="97"/>
      <c r="F44" s="228" t="s">
        <v>128</v>
      </c>
      <c r="G44" s="46" t="str">
        <f t="shared" si="5"/>
        <v/>
      </c>
      <c r="H44" s="46">
        <f t="shared" si="6"/>
        <v>0.39263168961471651</v>
      </c>
      <c r="I44" s="46" t="str">
        <f t="shared" si="7"/>
        <v/>
      </c>
      <c r="J44" s="97"/>
      <c r="K44" s="228" t="s">
        <v>128</v>
      </c>
      <c r="L44" s="46">
        <f t="shared" si="9"/>
        <v>-1178.1492329149232</v>
      </c>
      <c r="M44" s="46">
        <f t="shared" si="10"/>
        <v>-1</v>
      </c>
      <c r="N44" s="47"/>
      <c r="O44" s="47"/>
      <c r="P44" s="48"/>
      <c r="Q44" s="48"/>
    </row>
    <row r="45" spans="1:17" s="232" customFormat="1" ht="15.6" customHeight="1" x14ac:dyDescent="0.3">
      <c r="A45" s="50" t="str">
        <f>'1B-ContPP'!A53</f>
        <v>Impozit pe profit</v>
      </c>
      <c r="B45" s="51">
        <f>'1B-ContPP'!B53</f>
        <v>0</v>
      </c>
      <c r="C45" s="51">
        <f>'1B-ContPP'!C53</f>
        <v>0</v>
      </c>
      <c r="D45" s="51">
        <f>'1B-ContPP'!D53</f>
        <v>0</v>
      </c>
      <c r="E45" s="307"/>
      <c r="F45" s="50" t="s">
        <v>131</v>
      </c>
      <c r="G45" s="45" t="str">
        <f t="shared" si="5"/>
        <v/>
      </c>
      <c r="H45" s="45">
        <f t="shared" si="6"/>
        <v>0</v>
      </c>
      <c r="I45" s="45" t="str">
        <f t="shared" si="7"/>
        <v/>
      </c>
      <c r="J45" s="307"/>
      <c r="K45" s="50" t="s">
        <v>131</v>
      </c>
      <c r="L45" s="45" t="str">
        <f t="shared" si="9"/>
        <v/>
      </c>
      <c r="M45" s="45" t="str">
        <f t="shared" si="10"/>
        <v/>
      </c>
      <c r="N45" s="230"/>
      <c r="O45" s="230"/>
      <c r="P45" s="231"/>
      <c r="Q45" s="231"/>
    </row>
    <row r="46" spans="1:17" s="232" customFormat="1" ht="24" customHeight="1" x14ac:dyDescent="0.3">
      <c r="A46" s="50" t="str">
        <f>'1B-ContPP'!A54</f>
        <v>Alte impozite neprezentate la elementele de mai sus</v>
      </c>
      <c r="B46" s="51">
        <f>'1B-ContPP'!B54</f>
        <v>0</v>
      </c>
      <c r="C46" s="51">
        <f>'1B-ContPP'!C54</f>
        <v>21609</v>
      </c>
      <c r="D46" s="51">
        <f>'1B-ContPP'!D54</f>
        <v>0</v>
      </c>
      <c r="E46" s="307"/>
      <c r="F46" s="50" t="str">
        <f>$A$46</f>
        <v>Alte impozite neprezentate la elementele de mai sus</v>
      </c>
      <c r="G46" s="45" t="str">
        <f t="shared" si="5"/>
        <v/>
      </c>
      <c r="H46" s="45">
        <f t="shared" si="6"/>
        <v>1.0052390216399226E-2</v>
      </c>
      <c r="I46" s="45" t="str">
        <f t="shared" si="7"/>
        <v/>
      </c>
      <c r="J46" s="307"/>
      <c r="K46" s="50" t="str">
        <f>F46</f>
        <v>Alte impozite neprezentate la elementele de mai sus</v>
      </c>
      <c r="L46" s="45" t="str">
        <f t="shared" si="9"/>
        <v/>
      </c>
      <c r="M46" s="45">
        <f t="shared" si="10"/>
        <v>-1</v>
      </c>
      <c r="N46" s="230"/>
      <c r="O46" s="230"/>
      <c r="P46" s="231"/>
      <c r="Q46" s="231"/>
    </row>
    <row r="47" spans="1:17" s="49" customFormat="1" ht="15.6" customHeight="1" x14ac:dyDescent="0.3">
      <c r="A47" s="228" t="str">
        <f>'1B-ContPP'!A55</f>
        <v>Rezultatul net</v>
      </c>
      <c r="B47" s="44">
        <f>'1B-ContPP'!B55</f>
        <v>-717</v>
      </c>
      <c r="C47" s="44">
        <f>'1B-ContPP'!C55</f>
        <v>822407</v>
      </c>
      <c r="D47" s="44">
        <f>'1B-ContPP'!D55</f>
        <v>0</v>
      </c>
      <c r="E47" s="97"/>
      <c r="F47" s="228" t="s">
        <v>133</v>
      </c>
      <c r="G47" s="46" t="str">
        <f t="shared" si="5"/>
        <v/>
      </c>
      <c r="H47" s="46">
        <f t="shared" si="6"/>
        <v>0.38257929939831731</v>
      </c>
      <c r="I47" s="46" t="str">
        <f t="shared" si="7"/>
        <v/>
      </c>
      <c r="J47" s="97"/>
      <c r="K47" s="228" t="s">
        <v>133</v>
      </c>
      <c r="L47" s="46">
        <f t="shared" si="9"/>
        <v>-1148.0111576011157</v>
      </c>
      <c r="M47" s="46">
        <f t="shared" si="10"/>
        <v>-1</v>
      </c>
      <c r="N47" s="47"/>
      <c r="O47" s="47"/>
      <c r="P47" s="48"/>
      <c r="Q47" s="48"/>
    </row>
    <row r="48" spans="1:17" s="49" customFormat="1" ht="15.6" customHeight="1" x14ac:dyDescent="0.3">
      <c r="A48" s="228" t="s">
        <v>161</v>
      </c>
      <c r="B48" s="44">
        <f>B47+B45+B46</f>
        <v>-717</v>
      </c>
      <c r="C48" s="44">
        <f>C47+C45+C46</f>
        <v>844016</v>
      </c>
      <c r="D48" s="44">
        <f>D47+D45+D46</f>
        <v>0</v>
      </c>
      <c r="E48" s="97"/>
      <c r="F48" s="228" t="s">
        <v>161</v>
      </c>
      <c r="G48" s="46" t="str">
        <f t="shared" si="5"/>
        <v/>
      </c>
      <c r="H48" s="46">
        <f t="shared" si="6"/>
        <v>0.39263168961471651</v>
      </c>
      <c r="I48" s="46" t="str">
        <f t="shared" si="7"/>
        <v/>
      </c>
      <c r="J48" s="97"/>
      <c r="K48" s="228" t="s">
        <v>161</v>
      </c>
      <c r="L48" s="46">
        <f t="shared" si="9"/>
        <v>-1178.1492329149232</v>
      </c>
      <c r="M48" s="46">
        <f t="shared" si="10"/>
        <v>-1</v>
      </c>
      <c r="N48" s="47"/>
      <c r="O48" s="47"/>
      <c r="P48" s="48"/>
      <c r="Q48" s="48"/>
    </row>
    <row r="49" spans="1:17" s="232" customFormat="1" ht="15.6" customHeight="1" x14ac:dyDescent="0.3">
      <c r="A49" s="228" t="s">
        <v>162</v>
      </c>
      <c r="B49" s="44">
        <f>B48+B34</f>
        <v>-717</v>
      </c>
      <c r="C49" s="44">
        <f>C48+C34</f>
        <v>844817</v>
      </c>
      <c r="D49" s="44">
        <f>D48+D34</f>
        <v>0</v>
      </c>
      <c r="E49" s="307"/>
      <c r="F49" s="228" t="s">
        <v>162</v>
      </c>
      <c r="G49" s="46" t="str">
        <f t="shared" si="5"/>
        <v/>
      </c>
      <c r="H49" s="46">
        <f t="shared" si="6"/>
        <v>0.39300431049320861</v>
      </c>
      <c r="I49" s="46" t="str">
        <f t="shared" si="7"/>
        <v/>
      </c>
      <c r="J49" s="97"/>
      <c r="K49" s="228" t="s">
        <v>162</v>
      </c>
      <c r="L49" s="46">
        <f t="shared" si="9"/>
        <v>-1179.2663877266389</v>
      </c>
      <c r="M49" s="46">
        <f t="shared" si="10"/>
        <v>-1</v>
      </c>
      <c r="N49" s="230"/>
      <c r="O49" s="230"/>
      <c r="P49" s="231"/>
      <c r="Q49" s="231"/>
    </row>
    <row r="50" spans="1:17" s="232" customFormat="1" ht="15.6" customHeight="1" x14ac:dyDescent="0.3">
      <c r="A50" s="228" t="s">
        <v>163</v>
      </c>
      <c r="B50" s="44">
        <f>B49+B33+B29</f>
        <v>-717</v>
      </c>
      <c r="C50" s="44">
        <f>C49+C33+C29</f>
        <v>904043</v>
      </c>
      <c r="D50" s="44">
        <f>D49+D33+D29</f>
        <v>0</v>
      </c>
      <c r="E50" s="307"/>
      <c r="F50" s="228" t="s">
        <v>163</v>
      </c>
      <c r="G50" s="46" t="str">
        <f t="shared" si="5"/>
        <v/>
      </c>
      <c r="H50" s="46">
        <f t="shared" si="6"/>
        <v>0.42055592616059079</v>
      </c>
      <c r="I50" s="46" t="str">
        <f t="shared" si="7"/>
        <v/>
      </c>
      <c r="J50" s="97"/>
      <c r="K50" s="228" t="s">
        <v>163</v>
      </c>
      <c r="L50" s="46">
        <f t="shared" si="9"/>
        <v>-1261.8688981868897</v>
      </c>
      <c r="M50" s="46">
        <f t="shared" si="10"/>
        <v>-1</v>
      </c>
      <c r="N50" s="230"/>
      <c r="O50" s="230"/>
      <c r="P50" s="231"/>
      <c r="Q50" s="231"/>
    </row>
    <row r="51" spans="1:17" s="232" customFormat="1" ht="15.6" customHeight="1" x14ac:dyDescent="0.3">
      <c r="A51" s="307"/>
      <c r="B51" s="92"/>
      <c r="C51" s="92"/>
      <c r="D51" s="92"/>
      <c r="E51" s="307"/>
      <c r="F51" s="307"/>
      <c r="G51" s="59"/>
      <c r="H51" s="59"/>
      <c r="I51" s="59"/>
      <c r="J51" s="307"/>
      <c r="K51" s="307"/>
      <c r="L51" s="59"/>
      <c r="M51" s="59"/>
      <c r="N51" s="230"/>
      <c r="O51" s="230"/>
      <c r="P51" s="231"/>
      <c r="Q51" s="231"/>
    </row>
    <row r="52" spans="1:17" s="232" customFormat="1" ht="15.6" customHeight="1" x14ac:dyDescent="0.3">
      <c r="A52" s="307"/>
      <c r="B52" s="92"/>
      <c r="C52" s="92"/>
      <c r="D52" s="92"/>
      <c r="E52" s="307"/>
      <c r="F52" s="307"/>
      <c r="G52" s="59"/>
      <c r="H52" s="59"/>
      <c r="I52" s="59"/>
      <c r="J52" s="307"/>
      <c r="K52" s="307"/>
      <c r="L52" s="59"/>
      <c r="M52" s="59"/>
      <c r="N52" s="230"/>
      <c r="O52" s="230"/>
      <c r="P52" s="231"/>
      <c r="Q52" s="231"/>
    </row>
    <row r="53" spans="1:17" s="232" customFormat="1" ht="15.6" customHeight="1" x14ac:dyDescent="0.3">
      <c r="A53" s="307"/>
      <c r="B53" s="92"/>
      <c r="C53" s="92"/>
      <c r="D53" s="92"/>
      <c r="E53" s="307"/>
      <c r="F53" s="307"/>
      <c r="G53" s="59"/>
      <c r="H53" s="59"/>
      <c r="I53" s="59"/>
      <c r="J53" s="307"/>
      <c r="K53" s="307"/>
      <c r="L53" s="59"/>
      <c r="M53" s="59"/>
      <c r="N53" s="230"/>
      <c r="O53" s="230"/>
      <c r="P53" s="231"/>
      <c r="Q53" s="231"/>
    </row>
    <row r="54" spans="1:17" s="232" customFormat="1" ht="15.6" customHeight="1" x14ac:dyDescent="0.3">
      <c r="A54" s="307"/>
      <c r="B54" s="92"/>
      <c r="C54" s="92"/>
      <c r="D54" s="92"/>
      <c r="E54" s="307"/>
      <c r="F54" s="307"/>
      <c r="G54" s="59"/>
      <c r="H54" s="59"/>
      <c r="I54" s="59"/>
      <c r="J54" s="307"/>
      <c r="K54" s="307"/>
      <c r="L54" s="59"/>
      <c r="M54" s="59"/>
      <c r="N54" s="230"/>
      <c r="O54" s="230"/>
      <c r="P54" s="231"/>
      <c r="Q54" s="231"/>
    </row>
    <row r="55" spans="1:17" s="232" customFormat="1" ht="15.6" customHeight="1" x14ac:dyDescent="0.3">
      <c r="A55" s="307"/>
      <c r="B55" s="92"/>
      <c r="C55" s="92"/>
      <c r="D55" s="92"/>
      <c r="E55" s="307"/>
      <c r="F55" s="307"/>
      <c r="G55" s="59"/>
      <c r="H55" s="59"/>
      <c r="I55" s="59"/>
      <c r="J55" s="307"/>
      <c r="K55" s="307"/>
      <c r="L55" s="59"/>
      <c r="M55" s="59"/>
      <c r="N55" s="230"/>
      <c r="O55" s="230"/>
      <c r="P55" s="231"/>
      <c r="Q55" s="231"/>
    </row>
    <row r="56" spans="1:17" s="232" customFormat="1" ht="15.6" customHeight="1" x14ac:dyDescent="0.3">
      <c r="A56" s="307"/>
      <c r="B56" s="92"/>
      <c r="C56" s="92"/>
      <c r="D56" s="92"/>
      <c r="E56" s="307"/>
      <c r="F56" s="307"/>
      <c r="G56" s="59"/>
      <c r="H56" s="59"/>
      <c r="I56" s="59"/>
      <c r="J56" s="307"/>
      <c r="K56" s="307"/>
      <c r="L56" s="59"/>
      <c r="M56" s="59"/>
      <c r="N56" s="230"/>
      <c r="O56" s="230"/>
      <c r="P56" s="231"/>
      <c r="Q56" s="231"/>
    </row>
    <row r="57" spans="1:17" s="232" customFormat="1" ht="15.6" customHeight="1" x14ac:dyDescent="0.3">
      <c r="A57" s="307"/>
      <c r="B57" s="92"/>
      <c r="C57" s="92"/>
      <c r="D57" s="92"/>
      <c r="E57" s="307"/>
      <c r="F57" s="307"/>
      <c r="G57" s="59"/>
      <c r="H57" s="59"/>
      <c r="I57" s="59"/>
      <c r="J57" s="307"/>
      <c r="K57" s="307"/>
      <c r="L57" s="59"/>
      <c r="M57" s="59"/>
      <c r="N57" s="230"/>
      <c r="O57" s="230"/>
      <c r="P57" s="231"/>
      <c r="Q57" s="231"/>
    </row>
    <row r="58" spans="1:17" s="232" customFormat="1" ht="15.6" customHeight="1" x14ac:dyDescent="0.3">
      <c r="A58" s="307"/>
      <c r="B58" s="92"/>
      <c r="C58" s="92"/>
      <c r="D58" s="92"/>
      <c r="E58" s="307"/>
      <c r="F58" s="307"/>
      <c r="G58" s="59"/>
      <c r="H58" s="59"/>
      <c r="I58" s="59"/>
      <c r="J58" s="307"/>
      <c r="K58" s="307"/>
      <c r="L58" s="59"/>
      <c r="M58" s="59"/>
      <c r="N58" s="230"/>
      <c r="O58" s="230"/>
      <c r="P58" s="231"/>
      <c r="Q58" s="231"/>
    </row>
    <row r="59" spans="1:17" s="232" customFormat="1" ht="15.6" customHeight="1" x14ac:dyDescent="0.3">
      <c r="A59" s="307"/>
      <c r="B59" s="92"/>
      <c r="C59" s="92"/>
      <c r="D59" s="92"/>
      <c r="E59" s="307"/>
      <c r="F59" s="307"/>
      <c r="G59" s="59"/>
      <c r="H59" s="59"/>
      <c r="I59" s="59"/>
      <c r="J59" s="307"/>
      <c r="K59" s="307"/>
      <c r="L59" s="59"/>
      <c r="M59" s="59"/>
      <c r="N59" s="230"/>
      <c r="O59" s="230"/>
      <c r="P59" s="231"/>
      <c r="Q59" s="231"/>
    </row>
    <row r="60" spans="1:17" s="232" customFormat="1" ht="15.6" customHeight="1" x14ac:dyDescent="0.3">
      <c r="A60" s="307"/>
      <c r="B60" s="92"/>
      <c r="C60" s="92"/>
      <c r="D60" s="92"/>
      <c r="E60" s="307"/>
      <c r="F60" s="307"/>
      <c r="G60" s="59"/>
      <c r="H60" s="59"/>
      <c r="I60" s="59"/>
      <c r="J60" s="307"/>
      <c r="K60" s="307"/>
      <c r="L60" s="59"/>
      <c r="M60" s="59"/>
      <c r="N60" s="230"/>
      <c r="O60" s="230"/>
      <c r="P60" s="231"/>
      <c r="Q60" s="231"/>
    </row>
    <row r="61" spans="1:17" s="232" customFormat="1" ht="15.6" customHeight="1" x14ac:dyDescent="0.3">
      <c r="A61" s="97"/>
      <c r="B61" s="92"/>
      <c r="C61" s="92"/>
      <c r="D61" s="92"/>
      <c r="E61" s="307"/>
      <c r="F61" s="307"/>
      <c r="G61" s="59"/>
      <c r="H61" s="59"/>
      <c r="I61" s="59"/>
      <c r="J61" s="307"/>
      <c r="K61" s="307"/>
      <c r="L61" s="59"/>
      <c r="M61" s="59"/>
      <c r="N61" s="230"/>
      <c r="O61" s="230"/>
      <c r="P61" s="231"/>
      <c r="Q61" s="231"/>
    </row>
    <row r="62" spans="1:17" s="232" customFormat="1" ht="15.6" customHeight="1" x14ac:dyDescent="0.3">
      <c r="A62" s="307"/>
      <c r="B62" s="92"/>
      <c r="C62" s="92"/>
      <c r="D62" s="92"/>
      <c r="E62" s="307"/>
      <c r="F62" s="307"/>
      <c r="G62" s="59"/>
      <c r="H62" s="59"/>
      <c r="I62" s="59"/>
      <c r="J62" s="307"/>
      <c r="K62" s="307"/>
      <c r="L62" s="59"/>
      <c r="M62" s="59"/>
      <c r="N62" s="230"/>
      <c r="O62" s="230"/>
      <c r="P62" s="231"/>
      <c r="Q62" s="231"/>
    </row>
    <row r="63" spans="1:17" s="232" customFormat="1" ht="15.6" customHeight="1" x14ac:dyDescent="0.3">
      <c r="A63" s="307"/>
      <c r="B63" s="92"/>
      <c r="C63" s="92"/>
      <c r="D63" s="92"/>
      <c r="E63" s="307"/>
      <c r="F63" s="307"/>
      <c r="G63" s="59"/>
      <c r="H63" s="59"/>
      <c r="I63" s="59"/>
      <c r="J63" s="307"/>
      <c r="K63" s="307"/>
      <c r="L63" s="59"/>
      <c r="M63" s="59"/>
      <c r="N63" s="230"/>
      <c r="O63" s="230"/>
      <c r="P63" s="231"/>
      <c r="Q63" s="231"/>
    </row>
    <row r="64" spans="1:17" s="232" customFormat="1" ht="15.6" customHeight="1" x14ac:dyDescent="0.3">
      <c r="A64" s="307"/>
      <c r="B64" s="92"/>
      <c r="C64" s="92"/>
      <c r="D64" s="92"/>
      <c r="E64" s="307"/>
      <c r="F64" s="307"/>
      <c r="G64" s="59"/>
      <c r="H64" s="59"/>
      <c r="I64" s="59"/>
      <c r="J64" s="307"/>
      <c r="K64" s="307"/>
      <c r="L64" s="59"/>
      <c r="M64" s="59"/>
      <c r="N64" s="230"/>
      <c r="O64" s="230"/>
      <c r="P64" s="231"/>
      <c r="Q64" s="231"/>
    </row>
    <row r="65" spans="1:17" s="232" customFormat="1" ht="15.6" customHeight="1" x14ac:dyDescent="0.3">
      <c r="A65" s="307"/>
      <c r="B65" s="92"/>
      <c r="C65" s="92"/>
      <c r="D65" s="92"/>
      <c r="E65" s="307"/>
      <c r="F65" s="307"/>
      <c r="G65" s="59"/>
      <c r="H65" s="59"/>
      <c r="I65" s="59"/>
      <c r="J65" s="307"/>
      <c r="K65" s="307"/>
      <c r="L65" s="59"/>
      <c r="M65" s="59"/>
      <c r="N65" s="230"/>
      <c r="O65" s="230"/>
      <c r="P65" s="231"/>
      <c r="Q65" s="231"/>
    </row>
    <row r="66" spans="1:17" s="232" customFormat="1" ht="15.6" customHeight="1" x14ac:dyDescent="0.3">
      <c r="A66" s="307"/>
      <c r="B66" s="92"/>
      <c r="C66" s="92"/>
      <c r="D66" s="92"/>
      <c r="E66" s="307"/>
      <c r="F66" s="307"/>
      <c r="G66" s="59"/>
      <c r="H66" s="59"/>
      <c r="I66" s="59"/>
      <c r="J66" s="307"/>
      <c r="K66" s="307"/>
      <c r="L66" s="59"/>
      <c r="M66" s="59"/>
      <c r="N66" s="230"/>
      <c r="O66" s="230"/>
      <c r="P66" s="231"/>
      <c r="Q66" s="231"/>
    </row>
    <row r="67" spans="1:17" s="232" customFormat="1" ht="15.6" customHeight="1" x14ac:dyDescent="0.3">
      <c r="A67" s="307"/>
      <c r="B67" s="92"/>
      <c r="C67" s="92"/>
      <c r="D67" s="92"/>
      <c r="E67" s="307"/>
      <c r="F67" s="307"/>
      <c r="G67" s="59"/>
      <c r="H67" s="59"/>
      <c r="I67" s="59"/>
      <c r="J67" s="307"/>
      <c r="K67" s="307"/>
      <c r="L67" s="59"/>
      <c r="M67" s="59"/>
      <c r="N67" s="230"/>
      <c r="O67" s="230"/>
      <c r="P67" s="231"/>
      <c r="Q67" s="231"/>
    </row>
    <row r="68" spans="1:17" s="232" customFormat="1" ht="15.6" customHeight="1" x14ac:dyDescent="0.3">
      <c r="A68" s="307"/>
      <c r="B68" s="92"/>
      <c r="C68" s="92"/>
      <c r="D68" s="92"/>
      <c r="E68" s="307"/>
      <c r="F68" s="307"/>
      <c r="G68" s="59"/>
      <c r="H68" s="59"/>
      <c r="I68" s="59"/>
      <c r="J68" s="307"/>
      <c r="K68" s="307"/>
      <c r="L68" s="59"/>
      <c r="M68" s="59"/>
      <c r="N68" s="230"/>
      <c r="O68" s="230"/>
      <c r="P68" s="231"/>
      <c r="Q68" s="231"/>
    </row>
    <row r="69" spans="1:17" s="232" customFormat="1" ht="15.6" customHeight="1" x14ac:dyDescent="0.3">
      <c r="A69" s="307"/>
      <c r="B69" s="92"/>
      <c r="C69" s="92"/>
      <c r="D69" s="92"/>
      <c r="E69" s="307"/>
      <c r="F69" s="307"/>
      <c r="G69" s="59"/>
      <c r="H69" s="59"/>
      <c r="I69" s="59"/>
      <c r="J69" s="307"/>
      <c r="K69" s="307"/>
      <c r="L69" s="59"/>
      <c r="M69" s="59"/>
      <c r="N69" s="230"/>
      <c r="O69" s="230"/>
      <c r="P69" s="231"/>
      <c r="Q69" s="231"/>
    </row>
    <row r="70" spans="1:17" s="232" customFormat="1" ht="15.6" customHeight="1" x14ac:dyDescent="0.3">
      <c r="A70" s="307"/>
      <c r="B70" s="92"/>
      <c r="C70" s="92"/>
      <c r="D70" s="92"/>
      <c r="E70" s="307"/>
      <c r="F70" s="307"/>
      <c r="G70" s="59"/>
      <c r="H70" s="59"/>
      <c r="I70" s="59"/>
      <c r="J70" s="307"/>
      <c r="K70" s="307"/>
      <c r="L70" s="59"/>
      <c r="M70" s="59"/>
      <c r="N70" s="230"/>
      <c r="O70" s="230"/>
      <c r="P70" s="231"/>
      <c r="Q70" s="231"/>
    </row>
    <row r="71" spans="1:17" s="232" customFormat="1" ht="15.6" customHeight="1" x14ac:dyDescent="0.3">
      <c r="A71" s="307"/>
      <c r="B71" s="92"/>
      <c r="C71" s="92"/>
      <c r="D71" s="92"/>
      <c r="E71" s="307"/>
      <c r="F71" s="307"/>
      <c r="G71" s="59"/>
      <c r="H71" s="59"/>
      <c r="I71" s="59"/>
      <c r="J71" s="307"/>
      <c r="K71" s="307"/>
      <c r="L71" s="59"/>
      <c r="M71" s="59"/>
      <c r="N71" s="230"/>
      <c r="O71" s="230"/>
      <c r="P71" s="231"/>
      <c r="Q71" s="231"/>
    </row>
    <row r="72" spans="1:17" s="232" customFormat="1" ht="15.6" customHeight="1" x14ac:dyDescent="0.3">
      <c r="A72" s="307"/>
      <c r="B72" s="92"/>
      <c r="C72" s="92"/>
      <c r="D72" s="92"/>
      <c r="E72" s="307"/>
      <c r="F72" s="307"/>
      <c r="G72" s="59"/>
      <c r="H72" s="59"/>
      <c r="I72" s="59"/>
      <c r="J72" s="307"/>
      <c r="K72" s="307"/>
      <c r="L72" s="59"/>
      <c r="M72" s="59"/>
      <c r="N72" s="230"/>
      <c r="O72" s="230"/>
      <c r="P72" s="231"/>
      <c r="Q72" s="231"/>
    </row>
    <row r="73" spans="1:17" s="232" customFormat="1" ht="15.6" customHeight="1" x14ac:dyDescent="0.3">
      <c r="A73" s="307"/>
      <c r="B73" s="92"/>
      <c r="C73" s="92"/>
      <c r="D73" s="92"/>
      <c r="E73" s="307"/>
      <c r="F73" s="307"/>
      <c r="G73" s="59"/>
      <c r="H73" s="59"/>
      <c r="I73" s="59"/>
      <c r="J73" s="307"/>
      <c r="K73" s="307"/>
      <c r="L73" s="59"/>
      <c r="M73" s="59"/>
      <c r="N73" s="230"/>
      <c r="O73" s="230"/>
      <c r="P73" s="231"/>
      <c r="Q73" s="231"/>
    </row>
    <row r="74" spans="1:17" s="232" customFormat="1" ht="15.6" customHeight="1" x14ac:dyDescent="0.3">
      <c r="A74" s="307"/>
      <c r="B74" s="92"/>
      <c r="C74" s="92"/>
      <c r="D74" s="92"/>
      <c r="E74" s="307"/>
      <c r="F74" s="307"/>
      <c r="G74" s="59"/>
      <c r="H74" s="59"/>
      <c r="I74" s="59"/>
      <c r="J74" s="307"/>
      <c r="K74" s="307"/>
      <c r="L74" s="59"/>
      <c r="M74" s="59"/>
      <c r="N74" s="230"/>
      <c r="O74" s="230"/>
      <c r="P74" s="231"/>
      <c r="Q74" s="231"/>
    </row>
    <row r="75" spans="1:17" s="232" customFormat="1" ht="15.6" customHeight="1" x14ac:dyDescent="0.3">
      <c r="A75" s="307"/>
      <c r="B75" s="92"/>
      <c r="C75" s="92"/>
      <c r="D75" s="92"/>
      <c r="E75" s="307"/>
      <c r="F75" s="307"/>
      <c r="G75" s="59"/>
      <c r="H75" s="59"/>
      <c r="I75" s="59"/>
      <c r="J75" s="307"/>
      <c r="K75" s="307"/>
      <c r="L75" s="59"/>
      <c r="M75" s="59"/>
      <c r="N75" s="230"/>
      <c r="O75" s="230"/>
      <c r="P75" s="231"/>
      <c r="Q75" s="231"/>
    </row>
    <row r="76" spans="1:17" s="232" customFormat="1" ht="15.6" customHeight="1" x14ac:dyDescent="0.3">
      <c r="A76" s="307"/>
      <c r="B76" s="92"/>
      <c r="C76" s="92"/>
      <c r="D76" s="92"/>
      <c r="E76" s="307"/>
      <c r="F76" s="307"/>
      <c r="G76" s="59"/>
      <c r="H76" s="59"/>
      <c r="I76" s="59"/>
      <c r="J76" s="307"/>
      <c r="K76" s="307"/>
      <c r="L76" s="59"/>
      <c r="M76" s="59"/>
      <c r="N76" s="230"/>
      <c r="O76" s="230"/>
      <c r="P76" s="231"/>
      <c r="Q76" s="231"/>
    </row>
    <row r="77" spans="1:17" s="232" customFormat="1" ht="15.6" customHeight="1" x14ac:dyDescent="0.3">
      <c r="A77" s="307"/>
      <c r="B77" s="92"/>
      <c r="C77" s="92"/>
      <c r="D77" s="92"/>
      <c r="E77" s="307"/>
      <c r="F77" s="307"/>
      <c r="G77" s="59"/>
      <c r="H77" s="59"/>
      <c r="I77" s="59"/>
      <c r="J77" s="307"/>
      <c r="K77" s="307"/>
      <c r="L77" s="59"/>
      <c r="M77" s="59"/>
      <c r="N77" s="230"/>
      <c r="O77" s="230"/>
      <c r="P77" s="231"/>
      <c r="Q77" s="231"/>
    </row>
    <row r="78" spans="1:17" s="60" customFormat="1" ht="15" customHeight="1" x14ac:dyDescent="0.3">
      <c r="A78" s="307"/>
      <c r="B78" s="92"/>
      <c r="C78" s="92"/>
      <c r="D78" s="92"/>
      <c r="E78" s="307"/>
      <c r="F78" s="307"/>
      <c r="G78" s="59"/>
      <c r="H78" s="59"/>
      <c r="I78" s="59"/>
      <c r="J78" s="307"/>
      <c r="K78" s="307"/>
      <c r="L78" s="59"/>
      <c r="M78" s="59"/>
      <c r="N78" s="230"/>
      <c r="O78" s="230"/>
      <c r="P78" s="231"/>
      <c r="Q78" s="231"/>
    </row>
    <row r="79" spans="1:17" s="60" customFormat="1" ht="15" customHeight="1" x14ac:dyDescent="0.3">
      <c r="A79" s="307"/>
      <c r="B79" s="92"/>
      <c r="C79" s="92"/>
      <c r="D79" s="92"/>
      <c r="E79" s="307"/>
      <c r="F79" s="307"/>
      <c r="G79" s="59"/>
      <c r="H79" s="59"/>
      <c r="I79" s="59"/>
      <c r="J79" s="307"/>
      <c r="K79" s="307"/>
      <c r="L79" s="59"/>
      <c r="M79" s="59"/>
      <c r="N79" s="230"/>
      <c r="O79" s="230"/>
      <c r="P79" s="231"/>
      <c r="Q79" s="231"/>
    </row>
    <row r="80" spans="1:17" s="60" customFormat="1" ht="15" customHeight="1" x14ac:dyDescent="0.3">
      <c r="A80" s="307"/>
      <c r="B80" s="92"/>
      <c r="C80" s="92"/>
      <c r="D80" s="92"/>
      <c r="E80" s="307"/>
      <c r="F80" s="307"/>
      <c r="G80" s="59"/>
      <c r="H80" s="59"/>
      <c r="I80" s="59"/>
      <c r="J80" s="307"/>
      <c r="K80" s="307"/>
      <c r="L80" s="59"/>
      <c r="M80" s="59"/>
      <c r="N80" s="230"/>
      <c r="O80" s="230"/>
      <c r="P80" s="231"/>
      <c r="Q80" s="231"/>
    </row>
    <row r="81" spans="1:17" s="60" customFormat="1" ht="15" customHeight="1" x14ac:dyDescent="0.3">
      <c r="A81" s="307"/>
      <c r="B81" s="92"/>
      <c r="C81" s="92"/>
      <c r="D81" s="92"/>
      <c r="E81" s="307"/>
      <c r="F81" s="307"/>
      <c r="G81" s="59"/>
      <c r="H81" s="59"/>
      <c r="I81" s="59"/>
      <c r="J81" s="307"/>
      <c r="K81" s="307"/>
      <c r="L81" s="59"/>
      <c r="M81" s="59"/>
      <c r="N81" s="230"/>
      <c r="O81" s="230"/>
      <c r="P81" s="231"/>
      <c r="Q81" s="231"/>
    </row>
    <row r="82" spans="1:17" s="60" customFormat="1" ht="15" customHeight="1" x14ac:dyDescent="0.3">
      <c r="A82" s="307"/>
      <c r="B82" s="92"/>
      <c r="C82" s="92"/>
      <c r="D82" s="92"/>
      <c r="E82" s="307"/>
      <c r="F82" s="307"/>
      <c r="G82" s="59"/>
      <c r="H82" s="59"/>
      <c r="I82" s="59"/>
      <c r="J82" s="307"/>
      <c r="K82" s="307"/>
      <c r="L82" s="59"/>
      <c r="M82" s="59"/>
      <c r="N82" s="230"/>
      <c r="O82" s="230"/>
      <c r="P82" s="231"/>
      <c r="Q82" s="231"/>
    </row>
    <row r="83" spans="1:17" s="60" customFormat="1" ht="15" customHeight="1" x14ac:dyDescent="0.3">
      <c r="A83" s="307"/>
      <c r="B83" s="92"/>
      <c r="C83" s="92"/>
      <c r="D83" s="92"/>
      <c r="E83" s="307"/>
      <c r="F83" s="307"/>
      <c r="G83" s="59"/>
      <c r="H83" s="59"/>
      <c r="I83" s="59"/>
      <c r="J83" s="307"/>
      <c r="K83" s="307"/>
      <c r="L83" s="59"/>
      <c r="M83" s="59"/>
      <c r="N83" s="230"/>
      <c r="O83" s="230"/>
      <c r="P83" s="231"/>
      <c r="Q83" s="231"/>
    </row>
    <row r="84" spans="1:17" s="60" customFormat="1" ht="15" customHeight="1" x14ac:dyDescent="0.3">
      <c r="A84" s="307"/>
      <c r="B84" s="92"/>
      <c r="C84" s="92"/>
      <c r="D84" s="92"/>
      <c r="E84" s="307"/>
      <c r="F84" s="307"/>
      <c r="G84" s="59"/>
      <c r="H84" s="59"/>
      <c r="I84" s="59"/>
      <c r="J84" s="307"/>
      <c r="K84" s="307"/>
      <c r="L84" s="59"/>
      <c r="M84" s="59"/>
      <c r="N84" s="230"/>
      <c r="O84" s="230"/>
      <c r="P84" s="231"/>
      <c r="Q84" s="231"/>
    </row>
    <row r="85" spans="1:17" s="60" customFormat="1" ht="15" customHeight="1" x14ac:dyDescent="0.3">
      <c r="A85" s="307"/>
      <c r="B85" s="92"/>
      <c r="C85" s="92"/>
      <c r="D85" s="92"/>
      <c r="E85" s="307"/>
      <c r="F85" s="307"/>
      <c r="G85" s="59"/>
      <c r="H85" s="59"/>
      <c r="I85" s="59"/>
      <c r="J85" s="307"/>
      <c r="K85" s="307"/>
      <c r="L85" s="59"/>
      <c r="M85" s="59"/>
      <c r="N85" s="230"/>
      <c r="O85" s="230"/>
      <c r="P85" s="231"/>
      <c r="Q85" s="231"/>
    </row>
    <row r="86" spans="1:17" s="60" customFormat="1" ht="15" customHeight="1" x14ac:dyDescent="0.3">
      <c r="A86" s="307"/>
      <c r="B86" s="92"/>
      <c r="C86" s="92"/>
      <c r="D86" s="92"/>
      <c r="E86" s="307"/>
      <c r="F86" s="307"/>
      <c r="G86" s="59"/>
      <c r="H86" s="59"/>
      <c r="I86" s="59"/>
      <c r="J86" s="307"/>
      <c r="K86" s="307"/>
      <c r="L86" s="59"/>
      <c r="M86" s="59"/>
      <c r="N86" s="230"/>
      <c r="O86" s="230"/>
      <c r="P86" s="231"/>
      <c r="Q86" s="231"/>
    </row>
    <row r="87" spans="1:17" s="60" customFormat="1" ht="15" customHeight="1" x14ac:dyDescent="0.3">
      <c r="A87" s="307"/>
      <c r="B87" s="92"/>
      <c r="C87" s="92"/>
      <c r="D87" s="92"/>
      <c r="E87" s="307"/>
      <c r="F87" s="307"/>
      <c r="G87" s="59"/>
      <c r="H87" s="59"/>
      <c r="I87" s="59"/>
      <c r="J87" s="307"/>
      <c r="K87" s="307"/>
      <c r="L87" s="59"/>
      <c r="M87" s="59"/>
      <c r="N87" s="230"/>
      <c r="O87" s="230"/>
      <c r="P87" s="231"/>
      <c r="Q87" s="231"/>
    </row>
    <row r="88" spans="1:17" s="60" customFormat="1" ht="15" customHeight="1" x14ac:dyDescent="0.3">
      <c r="A88" s="307"/>
      <c r="B88" s="92"/>
      <c r="C88" s="92"/>
      <c r="D88" s="92"/>
      <c r="E88" s="307"/>
      <c r="F88" s="307"/>
      <c r="G88" s="59"/>
      <c r="H88" s="59"/>
      <c r="I88" s="59"/>
      <c r="J88" s="307"/>
      <c r="K88" s="307"/>
      <c r="L88" s="59"/>
      <c r="M88" s="59"/>
      <c r="N88" s="230"/>
      <c r="O88" s="230"/>
      <c r="P88" s="231"/>
      <c r="Q88" s="231"/>
    </row>
    <row r="89" spans="1:17" s="60" customFormat="1" ht="15" customHeight="1" x14ac:dyDescent="0.3">
      <c r="A89" s="307"/>
      <c r="B89" s="92"/>
      <c r="C89" s="92"/>
      <c r="D89" s="92"/>
      <c r="E89" s="307"/>
      <c r="F89" s="307"/>
      <c r="G89" s="59"/>
      <c r="H89" s="59"/>
      <c r="I89" s="59"/>
      <c r="J89" s="307"/>
      <c r="K89" s="307"/>
      <c r="L89" s="59"/>
      <c r="M89" s="59"/>
      <c r="N89" s="230"/>
      <c r="O89" s="230"/>
      <c r="P89" s="231"/>
      <c r="Q89" s="231"/>
    </row>
    <row r="90" spans="1:17" s="60" customFormat="1" ht="15" customHeight="1" x14ac:dyDescent="0.3">
      <c r="A90" s="307"/>
      <c r="B90" s="92"/>
      <c r="C90" s="92"/>
      <c r="D90" s="92"/>
      <c r="E90" s="307"/>
      <c r="F90" s="307"/>
      <c r="G90" s="59"/>
      <c r="H90" s="59"/>
      <c r="I90" s="59"/>
      <c r="J90" s="307"/>
      <c r="K90" s="307"/>
      <c r="L90" s="59"/>
      <c r="M90" s="59"/>
      <c r="N90" s="230"/>
      <c r="O90" s="230"/>
      <c r="P90" s="231"/>
      <c r="Q90" s="231"/>
    </row>
    <row r="91" spans="1:17" s="60" customFormat="1" ht="15" customHeight="1" x14ac:dyDescent="0.3">
      <c r="A91" s="307"/>
      <c r="B91" s="92"/>
      <c r="C91" s="92"/>
      <c r="D91" s="92"/>
      <c r="E91" s="307"/>
      <c r="F91" s="307"/>
      <c r="G91" s="59"/>
      <c r="H91" s="59"/>
      <c r="I91" s="59"/>
      <c r="J91" s="307"/>
      <c r="K91" s="307"/>
      <c r="L91" s="59"/>
      <c r="M91" s="59"/>
      <c r="N91" s="230"/>
      <c r="O91" s="230"/>
      <c r="P91" s="231"/>
      <c r="Q91" s="231"/>
    </row>
    <row r="92" spans="1:17" s="60" customFormat="1" ht="15" customHeight="1" x14ac:dyDescent="0.3">
      <c r="A92" s="307"/>
      <c r="B92" s="92"/>
      <c r="C92" s="92"/>
      <c r="D92" s="92"/>
      <c r="E92" s="307"/>
      <c r="F92" s="307"/>
      <c r="G92" s="59"/>
      <c r="H92" s="59"/>
      <c r="I92" s="59"/>
      <c r="J92" s="307"/>
      <c r="K92" s="307"/>
      <c r="L92" s="59"/>
      <c r="M92" s="59"/>
      <c r="N92" s="230"/>
      <c r="O92" s="230"/>
      <c r="P92" s="231"/>
      <c r="Q92" s="231"/>
    </row>
    <row r="93" spans="1:17" s="60" customFormat="1" ht="15" customHeight="1" x14ac:dyDescent="0.3">
      <c r="A93" s="307"/>
      <c r="B93" s="92"/>
      <c r="C93" s="92"/>
      <c r="D93" s="92"/>
      <c r="E93" s="307"/>
      <c r="F93" s="307"/>
      <c r="G93" s="59"/>
      <c r="H93" s="59"/>
      <c r="I93" s="59"/>
      <c r="J93" s="307"/>
      <c r="K93" s="307"/>
      <c r="L93" s="59"/>
      <c r="M93" s="59"/>
      <c r="N93" s="230"/>
      <c r="O93" s="230"/>
      <c r="P93" s="231"/>
      <c r="Q93" s="231"/>
    </row>
    <row r="94" spans="1:17" s="60" customFormat="1" ht="15" customHeight="1" x14ac:dyDescent="0.3">
      <c r="A94" s="307"/>
      <c r="B94" s="92"/>
      <c r="C94" s="92"/>
      <c r="D94" s="92"/>
      <c r="E94" s="307"/>
      <c r="F94" s="307"/>
      <c r="G94" s="59"/>
      <c r="H94" s="59"/>
      <c r="I94" s="59"/>
      <c r="J94" s="307"/>
      <c r="K94" s="307"/>
      <c r="L94" s="59"/>
      <c r="M94" s="59"/>
      <c r="N94" s="230"/>
      <c r="O94" s="230"/>
      <c r="P94" s="231"/>
      <c r="Q94" s="231"/>
    </row>
    <row r="95" spans="1:17" s="60" customFormat="1" ht="15" customHeight="1" x14ac:dyDescent="0.3">
      <c r="A95" s="307"/>
      <c r="B95" s="92"/>
      <c r="C95" s="92"/>
      <c r="D95" s="92"/>
      <c r="E95" s="307"/>
      <c r="F95" s="307"/>
      <c r="G95" s="59"/>
      <c r="H95" s="59"/>
      <c r="I95" s="59"/>
      <c r="J95" s="307"/>
      <c r="K95" s="307"/>
      <c r="L95" s="59"/>
      <c r="M95" s="59"/>
      <c r="N95" s="230"/>
      <c r="O95" s="230"/>
      <c r="P95" s="231"/>
      <c r="Q95" s="231"/>
    </row>
    <row r="96" spans="1:17" s="60" customFormat="1" ht="15" customHeight="1" x14ac:dyDescent="0.3">
      <c r="A96" s="307"/>
      <c r="B96" s="92"/>
      <c r="C96" s="92"/>
      <c r="D96" s="92"/>
      <c r="E96" s="307"/>
      <c r="F96" s="307"/>
      <c r="G96" s="59"/>
      <c r="H96" s="59"/>
      <c r="I96" s="59"/>
      <c r="J96" s="307"/>
      <c r="K96" s="307"/>
      <c r="L96" s="59"/>
      <c r="M96" s="59"/>
      <c r="N96" s="230"/>
      <c r="O96" s="230"/>
      <c r="P96" s="231"/>
      <c r="Q96" s="231"/>
    </row>
    <row r="97" spans="1:17" s="60" customFormat="1" ht="15" customHeight="1" x14ac:dyDescent="0.3">
      <c r="A97" s="307"/>
      <c r="B97" s="92"/>
      <c r="C97" s="92"/>
      <c r="D97" s="92"/>
      <c r="E97" s="307"/>
      <c r="F97" s="307"/>
      <c r="G97" s="59"/>
      <c r="H97" s="59"/>
      <c r="I97" s="59"/>
      <c r="J97" s="307"/>
      <c r="K97" s="307"/>
      <c r="L97" s="59"/>
      <c r="M97" s="59"/>
      <c r="N97" s="230"/>
      <c r="O97" s="230"/>
      <c r="P97" s="231"/>
      <c r="Q97" s="231"/>
    </row>
    <row r="98" spans="1:17" s="60" customFormat="1" ht="15" customHeight="1" x14ac:dyDescent="0.3">
      <c r="A98" s="307"/>
      <c r="B98" s="92"/>
      <c r="C98" s="92"/>
      <c r="D98" s="92"/>
      <c r="E98" s="307"/>
      <c r="F98" s="307"/>
      <c r="G98" s="59"/>
      <c r="H98" s="59"/>
      <c r="I98" s="59"/>
      <c r="J98" s="307"/>
      <c r="K98" s="307"/>
      <c r="L98" s="59"/>
      <c r="M98" s="59"/>
      <c r="N98" s="230"/>
      <c r="O98" s="230"/>
      <c r="P98" s="231"/>
      <c r="Q98" s="231"/>
    </row>
  </sheetData>
  <mergeCells count="1">
    <mergeCell ref="A1:D1"/>
  </mergeCells>
  <pageMargins left="0.50245098039215685" right="0.39215686274509798" top="0.43478260869565222" bottom="0.3079710144927536" header="0.31496062992125978" footer="0.31496062992125978"/>
  <pageSetup paperSize="9" fitToHeight="0" orientation="landscape" blackAndWhite="1" horizontalDpi="300" verticalDpi="300"/>
  <rowBreaks count="1" manualBreakCount="1">
    <brk id="22"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F97"/>
  <sheetViews>
    <sheetView topLeftCell="A15" workbookViewId="0">
      <selection activeCell="B89" sqref="B89:D89"/>
    </sheetView>
  </sheetViews>
  <sheetFormatPr defaultColWidth="9.109375" defaultRowHeight="13.8" x14ac:dyDescent="0.3"/>
  <cols>
    <col min="1" max="1" width="56.88671875" style="102" customWidth="1"/>
    <col min="2" max="4" width="12.88671875" style="231" customWidth="1"/>
    <col min="5" max="6" width="9.109375" style="281" customWidth="1"/>
    <col min="7" max="16384" width="9.109375" style="281"/>
  </cols>
  <sheetData>
    <row r="1" spans="1:4" s="283" customFormat="1" ht="17.399999999999999" customHeight="1" x14ac:dyDescent="0.3">
      <c r="A1" s="315" t="s">
        <v>164</v>
      </c>
      <c r="B1" s="316"/>
      <c r="C1" s="316"/>
      <c r="D1" s="316"/>
    </row>
    <row r="2" spans="1:4" s="283" customFormat="1" ht="27.75" customHeight="1" x14ac:dyDescent="0.3">
      <c r="A2" s="317" t="s">
        <v>165</v>
      </c>
      <c r="B2" s="316"/>
      <c r="C2" s="316"/>
      <c r="D2" s="316"/>
    </row>
    <row r="3" spans="1:4" s="283" customFormat="1" ht="17.399999999999999" customHeight="1" x14ac:dyDescent="0.3">
      <c r="A3" s="318"/>
      <c r="B3" s="316"/>
      <c r="C3" s="316"/>
      <c r="D3" s="316"/>
    </row>
    <row r="4" spans="1:4" x14ac:dyDescent="0.3">
      <c r="A4" s="233" t="s">
        <v>166</v>
      </c>
      <c r="B4" s="227">
        <f>'1A-Bilant'!B5</f>
        <v>2018</v>
      </c>
      <c r="C4" s="227">
        <f>'1A-Bilant'!C5</f>
        <v>2019</v>
      </c>
      <c r="D4" s="227" t="str">
        <f>'1A-Bilant'!D5</f>
        <v>AN</v>
      </c>
    </row>
    <row r="5" spans="1:4" x14ac:dyDescent="0.3">
      <c r="A5" s="67" t="s">
        <v>167</v>
      </c>
      <c r="B5" s="63">
        <f>'1C-Analiza_fin_extinsa'!B21-'1C-Analiza_fin_extinsa'!B16-'1C-Analiza_fin_extinsa'!B11</f>
        <v>-517</v>
      </c>
      <c r="C5" s="63">
        <f>'1C-Analiza_fin_extinsa'!C21-'1C-Analiza_fin_extinsa'!C16-'1C-Analiza_fin_extinsa'!C11</f>
        <v>821890</v>
      </c>
      <c r="D5" s="63">
        <f>'1C-Analiza_fin_extinsa'!D21-'1C-Analiza_fin_extinsa'!D16-'1C-Analiza_fin_extinsa'!D11</f>
        <v>0</v>
      </c>
    </row>
    <row r="6" spans="1:4" ht="27.6" customHeight="1" x14ac:dyDescent="0.3">
      <c r="A6" s="67" t="s">
        <v>168</v>
      </c>
      <c r="B6" s="63">
        <f>'1C-Analiza_fin_extinsa'!B20+'1C-Analiza_fin_extinsa'!B16-'1C-Analiza_fin_extinsa'!B4</f>
        <v>-19786</v>
      </c>
      <c r="C6" s="63">
        <f>'1C-Analiza_fin_extinsa'!C20+'1C-Analiza_fin_extinsa'!C16-'1C-Analiza_fin_extinsa'!C4</f>
        <v>91521</v>
      </c>
      <c r="D6" s="63">
        <f>'1C-Analiza_fin_extinsa'!D20+'1C-Analiza_fin_extinsa'!D16-'1C-Analiza_fin_extinsa'!D4</f>
        <v>0</v>
      </c>
    </row>
    <row r="7" spans="1:4" ht="27.6" customHeight="1" x14ac:dyDescent="0.3">
      <c r="A7" s="67" t="s">
        <v>169</v>
      </c>
      <c r="B7" s="63">
        <f>('1C-Analiza_fin_extinsa'!B5-'1C-Analiza_fin_extinsa'!B9)-('1C-Analiza_fin_extinsa'!B11-'1C-Analiza_fin_extinsa'!B12)</f>
        <v>-25000</v>
      </c>
      <c r="C7" s="63">
        <f>('1C-Analiza_fin_extinsa'!C5-'1C-Analiza_fin_extinsa'!C9)-('1C-Analiza_fin_extinsa'!C11-'1C-Analiza_fin_extinsa'!C12)</f>
        <v>76531</v>
      </c>
      <c r="D7" s="63">
        <f>('1C-Analiza_fin_extinsa'!D5-'1C-Analiza_fin_extinsa'!D9)-('1C-Analiza_fin_extinsa'!D11-'1C-Analiza_fin_extinsa'!D12)</f>
        <v>0</v>
      </c>
    </row>
    <row r="8" spans="1:4" x14ac:dyDescent="0.3">
      <c r="A8" s="67" t="s">
        <v>170</v>
      </c>
      <c r="B8" s="63">
        <f>B6-B7</f>
        <v>5214</v>
      </c>
      <c r="C8" s="63">
        <f>C6-C7</f>
        <v>14990</v>
      </c>
      <c r="D8" s="63">
        <f>D6-D7</f>
        <v>0</v>
      </c>
    </row>
    <row r="9" spans="1:4" x14ac:dyDescent="0.3">
      <c r="A9" s="67" t="s">
        <v>171</v>
      </c>
      <c r="B9" s="63"/>
      <c r="C9" s="63">
        <f>C8-B8</f>
        <v>9776</v>
      </c>
      <c r="D9" s="63">
        <f>D8-C8</f>
        <v>-14990</v>
      </c>
    </row>
    <row r="10" spans="1:4" x14ac:dyDescent="0.3">
      <c r="A10" s="67" t="s">
        <v>172</v>
      </c>
      <c r="B10" s="61">
        <f>IFERROR(B7/B6,"")</f>
        <v>1.2635196603659153</v>
      </c>
      <c r="C10" s="61">
        <f>IFERROR(C7/C6,"")</f>
        <v>0.83621245397231236</v>
      </c>
      <c r="D10" s="61" t="str">
        <f>IFERROR(D7/D6,"")</f>
        <v/>
      </c>
    </row>
    <row r="11" spans="1:4" x14ac:dyDescent="0.3">
      <c r="B11" s="62"/>
      <c r="C11" s="62"/>
      <c r="D11" s="62"/>
    </row>
    <row r="12" spans="1:4" x14ac:dyDescent="0.3">
      <c r="A12" s="233" t="s">
        <v>173</v>
      </c>
      <c r="B12" s="254">
        <f>'1A-Bilant'!B5</f>
        <v>2018</v>
      </c>
      <c r="C12" s="254">
        <f>'1A-Bilant'!C5</f>
        <v>2019</v>
      </c>
      <c r="D12" s="254" t="str">
        <f>'1A-Bilant'!D5</f>
        <v>AN</v>
      </c>
    </row>
    <row r="13" spans="1:4" x14ac:dyDescent="0.3">
      <c r="A13" s="67" t="s">
        <v>174</v>
      </c>
      <c r="B13" s="63">
        <f>'1C-Analiza_fin_extinsa'!B25</f>
        <v>0</v>
      </c>
      <c r="C13" s="63">
        <f>'1C-Analiza_fin_extinsa'!C25</f>
        <v>2149638</v>
      </c>
      <c r="D13" s="63">
        <f>'1C-Analiza_fin_extinsa'!D25</f>
        <v>0</v>
      </c>
    </row>
    <row r="14" spans="1:4" x14ac:dyDescent="0.3">
      <c r="A14" s="67" t="s">
        <v>91</v>
      </c>
      <c r="B14" s="63">
        <f>'1C-Analiza_fin_extinsa'!B27</f>
        <v>0</v>
      </c>
      <c r="C14" s="63">
        <f>'1C-Analiza_fin_extinsa'!C27</f>
        <v>2149638</v>
      </c>
      <c r="D14" s="63">
        <f>'1C-Analiza_fin_extinsa'!D27</f>
        <v>0</v>
      </c>
    </row>
    <row r="15" spans="1:4" x14ac:dyDescent="0.3">
      <c r="A15" s="67" t="s">
        <v>102</v>
      </c>
      <c r="B15" s="63">
        <f>'1C-Analiza_fin_extinsa'!B30</f>
        <v>717</v>
      </c>
      <c r="C15" s="63">
        <f>'1C-Analiza_fin_extinsa'!C30</f>
        <v>1317711</v>
      </c>
      <c r="D15" s="63">
        <f>'1C-Analiza_fin_extinsa'!D30</f>
        <v>0</v>
      </c>
    </row>
    <row r="16" spans="1:4" ht="27.6" customHeight="1" x14ac:dyDescent="0.3">
      <c r="A16" s="67" t="s">
        <v>175</v>
      </c>
      <c r="B16" s="63">
        <f>'1C-Analiza_fin_extinsa'!B31</f>
        <v>-717</v>
      </c>
      <c r="C16" s="63">
        <f>'1C-Analiza_fin_extinsa'!C31</f>
        <v>831927</v>
      </c>
      <c r="D16" s="63">
        <f>'1C-Analiza_fin_extinsa'!D31</f>
        <v>0</v>
      </c>
    </row>
    <row r="17" spans="1:4" x14ac:dyDescent="0.3">
      <c r="A17" s="67" t="s">
        <v>110</v>
      </c>
      <c r="B17" s="63">
        <f>'1C-Analiza_fin_extinsa'!B32</f>
        <v>0</v>
      </c>
      <c r="C17" s="63">
        <f>'1C-Analiza_fin_extinsa'!C32</f>
        <v>12890</v>
      </c>
      <c r="D17" s="63">
        <f>'1C-Analiza_fin_extinsa'!D32</f>
        <v>0</v>
      </c>
    </row>
    <row r="18" spans="1:4" x14ac:dyDescent="0.3">
      <c r="A18" s="67" t="s">
        <v>114</v>
      </c>
      <c r="B18" s="63">
        <f>'1C-Analiza_fin_extinsa'!B36</f>
        <v>0</v>
      </c>
      <c r="C18" s="63">
        <f>'1C-Analiza_fin_extinsa'!C36</f>
        <v>801</v>
      </c>
      <c r="D18" s="63">
        <f>'1C-Analiza_fin_extinsa'!D36</f>
        <v>0</v>
      </c>
    </row>
    <row r="19" spans="1:4" s="64" customFormat="1" x14ac:dyDescent="0.3">
      <c r="A19" s="67" t="s">
        <v>176</v>
      </c>
      <c r="B19" s="63">
        <f>'1C-Analiza_fin_extinsa'!B37</f>
        <v>0</v>
      </c>
      <c r="C19" s="63">
        <f>'1C-Analiza_fin_extinsa'!C37</f>
        <v>12089</v>
      </c>
      <c r="D19" s="63">
        <f>'1C-Analiza_fin_extinsa'!D37</f>
        <v>0</v>
      </c>
    </row>
    <row r="20" spans="1:4" x14ac:dyDescent="0.3">
      <c r="A20" s="67" t="s">
        <v>177</v>
      </c>
      <c r="B20" s="63">
        <f>'1C-Analiza_fin_extinsa'!B38</f>
        <v>-717</v>
      </c>
      <c r="C20" s="63">
        <f>'1C-Analiza_fin_extinsa'!C38</f>
        <v>844016</v>
      </c>
      <c r="D20" s="63">
        <f>'1C-Analiza_fin_extinsa'!D38</f>
        <v>0</v>
      </c>
    </row>
    <row r="21" spans="1:4" x14ac:dyDescent="0.3">
      <c r="A21" s="67" t="s">
        <v>121</v>
      </c>
      <c r="B21" s="63">
        <f>'1C-Analiza_fin_extinsa'!B39</f>
        <v>0</v>
      </c>
      <c r="C21" s="63">
        <f>'1C-Analiza_fin_extinsa'!C39</f>
        <v>0</v>
      </c>
      <c r="D21" s="63">
        <f>'1C-Analiza_fin_extinsa'!D39</f>
        <v>0</v>
      </c>
    </row>
    <row r="22" spans="1:4" x14ac:dyDescent="0.3">
      <c r="A22" s="67" t="s">
        <v>122</v>
      </c>
      <c r="B22" s="63">
        <f>'1C-Analiza_fin_extinsa'!B40</f>
        <v>0</v>
      </c>
      <c r="C22" s="63">
        <f>'1C-Analiza_fin_extinsa'!C40</f>
        <v>0</v>
      </c>
      <c r="D22" s="63">
        <f>'1C-Analiza_fin_extinsa'!D40</f>
        <v>0</v>
      </c>
    </row>
    <row r="23" spans="1:4" ht="27.6" customHeight="1" x14ac:dyDescent="0.3">
      <c r="A23" s="67" t="s">
        <v>178</v>
      </c>
      <c r="B23" s="63">
        <f>'1C-Analiza_fin_extinsa'!B41</f>
        <v>0</v>
      </c>
      <c r="C23" s="63">
        <f>'1C-Analiza_fin_extinsa'!C41</f>
        <v>0</v>
      </c>
      <c r="D23" s="63">
        <f>'1C-Analiza_fin_extinsa'!D41</f>
        <v>0</v>
      </c>
    </row>
    <row r="24" spans="1:4" x14ac:dyDescent="0.3">
      <c r="A24" s="67" t="s">
        <v>126</v>
      </c>
      <c r="B24" s="63">
        <f>'1C-Analiza_fin_extinsa'!B42</f>
        <v>0</v>
      </c>
      <c r="C24" s="63">
        <f>'1C-Analiza_fin_extinsa'!C42</f>
        <v>2162528</v>
      </c>
      <c r="D24" s="63">
        <f>'1C-Analiza_fin_extinsa'!D42</f>
        <v>0</v>
      </c>
    </row>
    <row r="25" spans="1:4" x14ac:dyDescent="0.3">
      <c r="A25" s="67" t="s">
        <v>127</v>
      </c>
      <c r="B25" s="63">
        <f>'1C-Analiza_fin_extinsa'!B43</f>
        <v>717</v>
      </c>
      <c r="C25" s="63">
        <f>'1C-Analiza_fin_extinsa'!C43</f>
        <v>1318512</v>
      </c>
      <c r="D25" s="63">
        <f>'1C-Analiza_fin_extinsa'!D43</f>
        <v>0</v>
      </c>
    </row>
    <row r="26" spans="1:4" x14ac:dyDescent="0.3">
      <c r="A26" s="67" t="s">
        <v>179</v>
      </c>
      <c r="B26" s="63">
        <f>'1C-Analiza_fin_extinsa'!B44</f>
        <v>-717</v>
      </c>
      <c r="C26" s="63">
        <f>'1C-Analiza_fin_extinsa'!C44</f>
        <v>844016</v>
      </c>
      <c r="D26" s="63">
        <f>'1C-Analiza_fin_extinsa'!D44</f>
        <v>0</v>
      </c>
    </row>
    <row r="27" spans="1:4" hidden="1" x14ac:dyDescent="0.3">
      <c r="A27" s="65" t="s">
        <v>131</v>
      </c>
      <c r="B27" s="66">
        <f>'1C-Analiza_fin_extinsa'!B45</f>
        <v>0</v>
      </c>
      <c r="C27" s="66">
        <f>'1C-Analiza_fin_extinsa'!C45</f>
        <v>0</v>
      </c>
      <c r="D27" s="66">
        <f>'1C-Analiza_fin_extinsa'!D45</f>
        <v>0</v>
      </c>
    </row>
    <row r="28" spans="1:4" x14ac:dyDescent="0.3">
      <c r="A28" s="67" t="s">
        <v>180</v>
      </c>
      <c r="B28" s="63">
        <f>'1C-Analiza_fin_extinsa'!B47</f>
        <v>-717</v>
      </c>
      <c r="C28" s="63">
        <f>'1C-Analiza_fin_extinsa'!C47</f>
        <v>822407</v>
      </c>
      <c r="D28" s="63">
        <f>'1C-Analiza_fin_extinsa'!D47</f>
        <v>0</v>
      </c>
    </row>
    <row r="29" spans="1:4" x14ac:dyDescent="0.3">
      <c r="A29" s="67" t="s">
        <v>181</v>
      </c>
      <c r="B29" s="63">
        <f>'1C-Analiza_fin_extinsa'!B48</f>
        <v>-717</v>
      </c>
      <c r="C29" s="63">
        <f>'1C-Analiza_fin_extinsa'!C48</f>
        <v>844016</v>
      </c>
      <c r="D29" s="63">
        <f>'1C-Analiza_fin_extinsa'!D48</f>
        <v>0</v>
      </c>
    </row>
    <row r="30" spans="1:4" x14ac:dyDescent="0.3">
      <c r="A30" s="67" t="s">
        <v>182</v>
      </c>
      <c r="B30" s="63">
        <f>'1C-Analiza_fin_extinsa'!B49</f>
        <v>-717</v>
      </c>
      <c r="C30" s="63">
        <f>'1C-Analiza_fin_extinsa'!C49</f>
        <v>844817</v>
      </c>
      <c r="D30" s="63">
        <f>'1C-Analiza_fin_extinsa'!D49</f>
        <v>0</v>
      </c>
    </row>
    <row r="31" spans="1:4" ht="27.6" customHeight="1" x14ac:dyDescent="0.3">
      <c r="A31" s="67" t="s">
        <v>183</v>
      </c>
      <c r="B31" s="63">
        <f>'1C-Analiza_fin_extinsa'!B50</f>
        <v>-717</v>
      </c>
      <c r="C31" s="63">
        <f>'1C-Analiza_fin_extinsa'!C50</f>
        <v>904043</v>
      </c>
      <c r="D31" s="63">
        <f>'1C-Analiza_fin_extinsa'!D50</f>
        <v>0</v>
      </c>
    </row>
    <row r="32" spans="1:4" x14ac:dyDescent="0.3">
      <c r="B32" s="62"/>
      <c r="C32" s="62"/>
      <c r="D32" s="62"/>
    </row>
    <row r="33" spans="1:4" x14ac:dyDescent="0.3">
      <c r="A33" s="233" t="s">
        <v>184</v>
      </c>
      <c r="B33" s="254">
        <f>'1A-Bilant'!B5</f>
        <v>2018</v>
      </c>
      <c r="C33" s="254">
        <f>'1A-Bilant'!C5</f>
        <v>2019</v>
      </c>
      <c r="D33" s="254" t="str">
        <f>'1A-Bilant'!D5</f>
        <v>AN</v>
      </c>
    </row>
    <row r="34" spans="1:4" x14ac:dyDescent="0.3">
      <c r="A34" s="67" t="s">
        <v>185</v>
      </c>
      <c r="B34" s="69" t="str">
        <f>IFERROR('1C-Analiza_fin_extinsa'!G31,"")</f>
        <v/>
      </c>
      <c r="C34" s="69">
        <f>IFERROR('1C-Analiza_fin_extinsa'!H31,"")</f>
        <v>0.38700795203657545</v>
      </c>
      <c r="D34" s="69" t="str">
        <f>IFERROR('1C-Analiza_fin_extinsa'!I31,"")</f>
        <v/>
      </c>
    </row>
    <row r="35" spans="1:4" x14ac:dyDescent="0.3">
      <c r="A35" s="67" t="s">
        <v>186</v>
      </c>
      <c r="B35" s="69" t="str">
        <f>IFERROR('1C-Analiza_fin_extinsa'!G37,"")</f>
        <v/>
      </c>
      <c r="C35" s="69">
        <f>IFERROR('1C-Analiza_fin_extinsa'!H37,"")</f>
        <v>5.6237375781410638E-3</v>
      </c>
      <c r="D35" s="69" t="str">
        <f>IFERROR('1C-Analiza_fin_extinsa'!I37,"")</f>
        <v/>
      </c>
    </row>
    <row r="36" spans="1:4" x14ac:dyDescent="0.3">
      <c r="A36" s="67" t="s">
        <v>187</v>
      </c>
      <c r="B36" s="69" t="str">
        <f>IFERROR('1C-Analiza_fin_extinsa'!G41,"")</f>
        <v/>
      </c>
      <c r="C36" s="69">
        <f>IFERROR('1C-Analiza_fin_extinsa'!H41,"")</f>
        <v>0</v>
      </c>
      <c r="D36" s="69" t="str">
        <f>IFERROR('1C-Analiza_fin_extinsa'!I41,"")</f>
        <v/>
      </c>
    </row>
    <row r="37" spans="1:4" x14ac:dyDescent="0.3">
      <c r="A37" s="67" t="s">
        <v>188</v>
      </c>
      <c r="B37" s="69" t="str">
        <f>IFERROR('1C-Analiza_fin_extinsa'!G44,"")</f>
        <v/>
      </c>
      <c r="C37" s="69">
        <f>IFERROR('1C-Analiza_fin_extinsa'!H44,"")</f>
        <v>0.39263168961471651</v>
      </c>
      <c r="D37" s="69" t="str">
        <f>IFERROR('1C-Analiza_fin_extinsa'!I44,"")</f>
        <v/>
      </c>
    </row>
    <row r="38" spans="1:4" x14ac:dyDescent="0.3">
      <c r="A38" s="67" t="s">
        <v>189</v>
      </c>
      <c r="B38" s="69" t="str">
        <f>IFERROR('1C-Analiza_fin_extinsa'!G47,"")</f>
        <v/>
      </c>
      <c r="C38" s="69">
        <f>IFERROR('1C-Analiza_fin_extinsa'!H47,"")</f>
        <v>0.38257929939831731</v>
      </c>
      <c r="D38" s="69" t="str">
        <f>IFERROR('1C-Analiza_fin_extinsa'!I47,"")</f>
        <v/>
      </c>
    </row>
    <row r="39" spans="1:4" x14ac:dyDescent="0.3">
      <c r="A39" s="67" t="s">
        <v>190</v>
      </c>
      <c r="B39" s="69" t="str">
        <f>IFERROR('1C-Analiza_fin_extinsa'!G50,"")</f>
        <v/>
      </c>
      <c r="C39" s="69">
        <f>IFERROR('1C-Analiza_fin_extinsa'!H50,"")</f>
        <v>0.42055592616059079</v>
      </c>
      <c r="D39" s="69" t="str">
        <f>IFERROR('1C-Analiza_fin_extinsa'!I50,"")</f>
        <v/>
      </c>
    </row>
    <row r="40" spans="1:4" x14ac:dyDescent="0.3">
      <c r="A40" s="67" t="s">
        <v>191</v>
      </c>
      <c r="B40" s="69" t="str">
        <f>IFERROR('1C-Analiza_fin_extinsa'!G49,"")</f>
        <v/>
      </c>
      <c r="C40" s="69">
        <f>IFERROR('1C-Analiza_fin_extinsa'!H49,"")</f>
        <v>0.39300431049320861</v>
      </c>
      <c r="D40" s="69" t="str">
        <f>IFERROR('1C-Analiza_fin_extinsa'!I49,"")</f>
        <v/>
      </c>
    </row>
    <row r="41" spans="1:4" x14ac:dyDescent="0.3">
      <c r="B41" s="103"/>
      <c r="C41" s="103"/>
      <c r="D41" s="103"/>
    </row>
    <row r="42" spans="1:4" x14ac:dyDescent="0.3">
      <c r="A42" s="233" t="s">
        <v>192</v>
      </c>
      <c r="B42" s="254">
        <f>'1A-Bilant'!B5</f>
        <v>2018</v>
      </c>
      <c r="C42" s="254">
        <f>'1A-Bilant'!C5</f>
        <v>2019</v>
      </c>
      <c r="D42" s="254" t="str">
        <f>'1A-Bilant'!D5</f>
        <v>AN</v>
      </c>
    </row>
    <row r="43" spans="1:4" x14ac:dyDescent="0.3">
      <c r="A43" s="67" t="s">
        <v>193</v>
      </c>
      <c r="B43" s="105">
        <f>'1B-ContPP'!B55</f>
        <v>-717</v>
      </c>
      <c r="C43" s="105">
        <f>'1B-ContPP'!C55</f>
        <v>822407</v>
      </c>
      <c r="D43" s="105">
        <f>'1B-ContPP'!D55</f>
        <v>0</v>
      </c>
    </row>
    <row r="44" spans="1:4" x14ac:dyDescent="0.3">
      <c r="A44" s="67" t="s">
        <v>194</v>
      </c>
      <c r="B44" s="105">
        <f>'1C-Analiza_fin_extinsa'!B49-'1C-Analiza_fin_extinsa'!B45</f>
        <v>-717</v>
      </c>
      <c r="C44" s="105">
        <f>'1C-Analiza_fin_extinsa'!C49-'1C-Analiza_fin_extinsa'!C45</f>
        <v>844817</v>
      </c>
      <c r="D44" s="105">
        <f>'1C-Analiza_fin_extinsa'!D49-'1C-Analiza_fin_extinsa'!D45</f>
        <v>0</v>
      </c>
    </row>
    <row r="45" spans="1:4" x14ac:dyDescent="0.3">
      <c r="A45" s="221" t="s">
        <v>195</v>
      </c>
      <c r="B45" s="222" t="str">
        <f>IF(B43&lt;0,"nu se calculeaza",IFERROR('1C-Analiza_fin_extinsa'!B47/'1C-Analiza_fin_extinsa'!B21,""))</f>
        <v>nu se calculeaza</v>
      </c>
      <c r="C45" s="222">
        <f>IF(C43&lt;0,"nu se calculeaza",IFERROR('1C-Analiza_fin_extinsa'!C47/'1C-Analiza_fin_extinsa'!C21,""))</f>
        <v>0.81681670646098103</v>
      </c>
      <c r="D45" s="222" t="str">
        <f>IF(D43&lt;0,"nu se calculeaza",IFERROR('1C-Analiza_fin_extinsa'!D47/'1C-Analiza_fin_extinsa'!D21,""))</f>
        <v/>
      </c>
    </row>
    <row r="46" spans="1:4" x14ac:dyDescent="0.3">
      <c r="A46" s="67" t="s">
        <v>196</v>
      </c>
      <c r="B46" s="68"/>
      <c r="C46" s="68"/>
      <c r="D46" s="68"/>
    </row>
    <row r="47" spans="1:4" x14ac:dyDescent="0.3">
      <c r="A47" s="67" t="s">
        <v>197</v>
      </c>
      <c r="B47" s="69" t="str">
        <f>IF(B43&lt;0,"nu se calculeaza",IFERROR('1C-Analiza_fin_extinsa'!G47,""))</f>
        <v>nu se calculeaza</v>
      </c>
      <c r="C47" s="69">
        <f>IF(C43&lt;0,"nu se calculeaza",IFERROR('1C-Analiza_fin_extinsa'!H47,""))</f>
        <v>0.38257929939831731</v>
      </c>
      <c r="D47" s="69" t="str">
        <f>IF(D43&lt;0,"nu se calculeaza",IFERROR('1C-Analiza_fin_extinsa'!I47,""))</f>
        <v/>
      </c>
    </row>
    <row r="48" spans="1:4" x14ac:dyDescent="0.3">
      <c r="A48" s="67" t="s">
        <v>198</v>
      </c>
      <c r="B48" s="76">
        <f>IFERROR('1C-Analiza_fin_extinsa'!B25/'1C-Analiza_fin_extinsa'!B10,"")</f>
        <v>0</v>
      </c>
      <c r="C48" s="76">
        <f>IFERROR('1C-Analiza_fin_extinsa'!C25/'1C-Analiza_fin_extinsa'!C10,"")</f>
        <v>2.1350258828577218</v>
      </c>
      <c r="D48" s="76" t="str">
        <f>IFERROR('1C-Analiza_fin_extinsa'!D25/'1C-Analiza_fin_extinsa'!D10,"")</f>
        <v/>
      </c>
    </row>
    <row r="49" spans="1:4" x14ac:dyDescent="0.3">
      <c r="A49" s="221" t="s">
        <v>199</v>
      </c>
      <c r="B49" s="222" t="str">
        <f>IF(B43&lt;0,"nu se calculeaza",IFERROR('1C-Analiza_fin_extinsa'!B47/'1C-Analiza_fin_extinsa'!B20,""))</f>
        <v>nu se calculeaza</v>
      </c>
      <c r="C49" s="222">
        <f>IF(C43&lt;0,"nu se calculeaza",IFERROR('1C-Analiza_fin_extinsa'!C47/'1C-Analiza_fin_extinsa'!C20,""))</f>
        <v>1.0006290379491172</v>
      </c>
      <c r="D49" s="222" t="str">
        <f>IF(D43&lt;0,"nu se calculeaza",IFERROR('1C-Analiza_fin_extinsa'!D47/'1C-Analiza_fin_extinsa'!D20,""))</f>
        <v/>
      </c>
    </row>
    <row r="50" spans="1:4" ht="24" customHeight="1" x14ac:dyDescent="0.3">
      <c r="A50" s="67" t="s">
        <v>200</v>
      </c>
      <c r="B50" s="68"/>
      <c r="C50" s="68"/>
      <c r="D50" s="68"/>
    </row>
    <row r="51" spans="1:4" x14ac:dyDescent="0.3">
      <c r="A51" s="67" t="s">
        <v>197</v>
      </c>
      <c r="B51" s="69" t="str">
        <f t="shared" ref="B51:D52" si="0">B47</f>
        <v>nu se calculeaza</v>
      </c>
      <c r="C51" s="69">
        <f t="shared" si="0"/>
        <v>0.38257929939831731</v>
      </c>
      <c r="D51" s="69" t="str">
        <f t="shared" si="0"/>
        <v/>
      </c>
    </row>
    <row r="52" spans="1:4" x14ac:dyDescent="0.3">
      <c r="A52" s="67" t="s">
        <v>198</v>
      </c>
      <c r="B52" s="76">
        <f t="shared" si="0"/>
        <v>0</v>
      </c>
      <c r="C52" s="76">
        <f t="shared" si="0"/>
        <v>2.1350258828577218</v>
      </c>
      <c r="D52" s="76" t="str">
        <f t="shared" si="0"/>
        <v/>
      </c>
    </row>
    <row r="53" spans="1:4" x14ac:dyDescent="0.3">
      <c r="A53" s="67" t="s">
        <v>201</v>
      </c>
      <c r="B53" s="76">
        <f>IFERROR('1C-Analiza_fin_extinsa'!B21/'1C-Analiza_fin_extinsa'!B20,"")</f>
        <v>-47.355899419729205</v>
      </c>
      <c r="C53" s="76">
        <f>IFERROR('1C-Analiza_fin_extinsa'!C21/'1C-Analiza_fin_extinsa'!C20,"")</f>
        <v>1.2250349803501686</v>
      </c>
      <c r="D53" s="76" t="str">
        <f>IFERROR('1C-Analiza_fin_extinsa'!D21/'1C-Analiza_fin_extinsa'!D20,"")</f>
        <v/>
      </c>
    </row>
    <row r="54" spans="1:4" ht="27.6" customHeight="1" x14ac:dyDescent="0.3">
      <c r="A54" s="233" t="s">
        <v>202</v>
      </c>
      <c r="B54" s="69" t="str">
        <f>IF(B44&lt;0,"nu se calculeaza",IFERROR(('1C-Analiza_fin_extinsa'!B49-'1C-Analiza_fin_extinsa'!B45)/('1C-Analiza_fin_extinsa'!B20+'1C-Analiza_fin_extinsa'!B16),""))</f>
        <v>nu se calculeaza</v>
      </c>
      <c r="C54" s="69">
        <f>IF(C44&lt;0,"nu se calculeaza",IFERROR(('1C-Analiza_fin_extinsa'!C49-'1C-Analiza_fin_extinsa'!C45)/('1C-Analiza_fin_extinsa'!C20+'1C-Analiza_fin_extinsa'!C16),""))</f>
        <v>0.90355725729686953</v>
      </c>
      <c r="D54" s="69" t="str">
        <f>IF(D44&lt;0,"nu se calculeaza",IFERROR(('1C-Analiza_fin_extinsa'!D49-'1C-Analiza_fin_extinsa'!D45)/('1C-Analiza_fin_extinsa'!D20+'1C-Analiza_fin_extinsa'!D16),""))</f>
        <v/>
      </c>
    </row>
    <row r="55" spans="1:4" ht="27.6" customHeight="1" x14ac:dyDescent="0.3">
      <c r="A55" s="67" t="s">
        <v>203</v>
      </c>
      <c r="B55" s="68"/>
      <c r="C55" s="68"/>
      <c r="D55" s="68"/>
    </row>
    <row r="56" spans="1:4" s="60" customFormat="1" ht="15" customHeight="1" x14ac:dyDescent="0.3">
      <c r="A56" s="67" t="s">
        <v>204</v>
      </c>
      <c r="B56" s="69" t="str">
        <f>IF(B44&lt;0,"nu se calculeaza",IFERROR(('1C-Analiza_fin_extinsa'!B49-'1C-Analiza_fin_extinsa'!B45)/'1C-Analiza_fin_extinsa'!B25,""))</f>
        <v>nu se calculeaza</v>
      </c>
      <c r="C56" s="69">
        <f>IF(C44&lt;0,"nu se calculeaza",IFERROR(('1C-Analiza_fin_extinsa'!C49-'1C-Analiza_fin_extinsa'!C45)/'1C-Analiza_fin_extinsa'!C25,""))</f>
        <v>0.39300431049320861</v>
      </c>
      <c r="D56" s="69" t="str">
        <f>IF(D44&lt;0,"nu se calculeaza",IFERROR(('1C-Analiza_fin_extinsa'!D49-'1C-Analiza_fin_extinsa'!D45)/'1C-Analiza_fin_extinsa'!D25,""))</f>
        <v/>
      </c>
    </row>
    <row r="57" spans="1:4" x14ac:dyDescent="0.3">
      <c r="A57" s="67" t="s">
        <v>198</v>
      </c>
      <c r="B57" s="76">
        <f>B48</f>
        <v>0</v>
      </c>
      <c r="C57" s="76">
        <f>C48</f>
        <v>2.1350258828577218</v>
      </c>
      <c r="D57" s="76" t="str">
        <f>D48</f>
        <v/>
      </c>
    </row>
    <row r="58" spans="1:4" x14ac:dyDescent="0.3">
      <c r="A58" s="67" t="s">
        <v>205</v>
      </c>
      <c r="B58" s="76">
        <f>IFERROR(('1C-Analiza_fin_extinsa'!B21/('1C-Analiza_fin_extinsa'!B20+'1C-Analiza_fin_extinsa'!B16)),"")</f>
        <v>-47.355899419729205</v>
      </c>
      <c r="C58" s="76">
        <f>IFERROR(('1C-Analiza_fin_extinsa'!C21/('1C-Analiza_fin_extinsa'!C20+'1C-Analiza_fin_extinsa'!C16)),"")</f>
        <v>1.0768500197863078</v>
      </c>
      <c r="D58" s="76" t="str">
        <f>IFERROR(('1C-Analiza_fin_extinsa'!D21/('1C-Analiza_fin_extinsa'!D20+'1C-Analiza_fin_extinsa'!D16)),"")</f>
        <v/>
      </c>
    </row>
    <row r="59" spans="1:4" x14ac:dyDescent="0.3">
      <c r="A59" s="233" t="s">
        <v>206</v>
      </c>
      <c r="B59" s="70" t="str">
        <f>IFERROR(B49-B54,"")</f>
        <v/>
      </c>
      <c r="C59" s="70">
        <f>IFERROR(C49-C54,"")</f>
        <v>9.7071780652247641E-2</v>
      </c>
      <c r="D59" s="70" t="str">
        <f>IFERROR(D49-D54,"")</f>
        <v/>
      </c>
    </row>
    <row r="60" spans="1:4" s="60" customFormat="1" ht="15" customHeight="1" x14ac:dyDescent="0.3">
      <c r="A60" s="102"/>
      <c r="B60" s="231"/>
      <c r="C60" s="231"/>
      <c r="D60" s="231"/>
    </row>
    <row r="61" spans="1:4" x14ac:dyDescent="0.3">
      <c r="A61" s="233" t="s">
        <v>207</v>
      </c>
      <c r="B61" s="254">
        <f>'1A-Bilant'!B5</f>
        <v>2018</v>
      </c>
      <c r="C61" s="254">
        <f>'1A-Bilant'!C5</f>
        <v>2019</v>
      </c>
      <c r="D61" s="254" t="str">
        <f>'1A-Bilant'!D5</f>
        <v>AN</v>
      </c>
    </row>
    <row r="62" spans="1:4" x14ac:dyDescent="0.3">
      <c r="A62" s="67" t="s">
        <v>208</v>
      </c>
      <c r="B62" s="71" t="str">
        <f>IFERROR(('1C-Analiza_fin_extinsa'!B21*360)/'1C-Analiza_fin_extinsa'!B25,"")</f>
        <v/>
      </c>
      <c r="C62" s="71">
        <f>IFERROR(('1C-Analiza_fin_extinsa'!C21*360)/'1C-Analiza_fin_extinsa'!C25,"")</f>
        <v>168.61622282449417</v>
      </c>
      <c r="D62" s="71" t="str">
        <f>IFERROR(('1C-Analiza_fin_extinsa'!D21*360)/'1C-Analiza_fin_extinsa'!D25,"")</f>
        <v/>
      </c>
    </row>
    <row r="63" spans="1:4" s="60" customFormat="1" ht="27.6" customHeight="1" x14ac:dyDescent="0.3">
      <c r="A63" s="67" t="s">
        <v>209</v>
      </c>
      <c r="B63" s="71" t="str">
        <f>IFERROR(('1C-Analiza_fin_extinsa'!B4*360)/'1C-Analiza_fin_extinsa'!B25,"")</f>
        <v/>
      </c>
      <c r="C63" s="71">
        <f>IFERROR(('1C-Analiza_fin_extinsa'!C4*360)/'1C-Analiza_fin_extinsa'!C25,"")</f>
        <v>141.25580213970912</v>
      </c>
      <c r="D63" s="71" t="str">
        <f>IFERROR(('1C-Analiza_fin_extinsa'!D4*360)/'1C-Analiza_fin_extinsa'!D25,"")</f>
        <v/>
      </c>
    </row>
    <row r="64" spans="1:4" x14ac:dyDescent="0.3">
      <c r="A64" s="67" t="s">
        <v>210</v>
      </c>
      <c r="B64" s="71" t="str">
        <f>IFERROR(('1C-Analiza_fin_extinsa'!B5*360)/'1C-Analiza_fin_extinsa'!B25,"")</f>
        <v/>
      </c>
      <c r="C64" s="71">
        <f>IFERROR(('1C-Analiza_fin_extinsa'!C5*360)/'1C-Analiza_fin_extinsa'!C25,"")</f>
        <v>27.360420684785066</v>
      </c>
      <c r="D64" s="71" t="str">
        <f>IFERROR(('1C-Analiza_fin_extinsa'!D5*360)/'1C-Analiza_fin_extinsa'!D25,"")</f>
        <v/>
      </c>
    </row>
    <row r="65" spans="1:4" x14ac:dyDescent="0.3">
      <c r="A65" s="67" t="s">
        <v>211</v>
      </c>
      <c r="B65" s="71" t="str">
        <f>IFERROR(('1C-Analiza_fin_extinsa'!B6*360)/'1C-Analiza_fin_extinsa'!B25,"")</f>
        <v/>
      </c>
      <c r="C65" s="71">
        <f>IFERROR(('1C-Analiza_fin_extinsa'!C6*360)/'1C-Analiza_fin_extinsa'!C25,"")</f>
        <v>10.716911405548283</v>
      </c>
      <c r="D65" s="71" t="str">
        <f>IFERROR(('1C-Analiza_fin_extinsa'!D6*360)/'1C-Analiza_fin_extinsa'!D25,"")</f>
        <v/>
      </c>
    </row>
    <row r="66" spans="1:4" x14ac:dyDescent="0.3">
      <c r="A66" s="67" t="s">
        <v>212</v>
      </c>
      <c r="B66" s="71" t="str">
        <f>IFERROR(('1C-Analiza_fin_extinsa'!B7*360)/'1C-Analiza_fin_extinsa'!B25,"")</f>
        <v/>
      </c>
      <c r="C66" s="71">
        <f>IFERROR(('1C-Analiza_fin_extinsa'!C7*360)/'1C-Analiza_fin_extinsa'!C25,"")</f>
        <v>14.133133113575402</v>
      </c>
      <c r="D66" s="71" t="str">
        <f>IFERROR(('1C-Analiza_fin_extinsa'!D7*360)/'1C-Analiza_fin_extinsa'!D25,"")</f>
        <v/>
      </c>
    </row>
    <row r="67" spans="1:4" x14ac:dyDescent="0.3">
      <c r="A67" s="67" t="s">
        <v>213</v>
      </c>
      <c r="B67" s="71" t="str">
        <f>IFERROR(('1C-Analiza_fin_extinsa'!B13*360)/'1C-Analiza_fin_extinsa'!B25,"")</f>
        <v/>
      </c>
      <c r="C67" s="71">
        <f>IFERROR(('1C-Analiza_fin_extinsa'!C13*360)/'1C-Analiza_fin_extinsa'!C25,"")</f>
        <v>4.2147189433755825</v>
      </c>
      <c r="D67" s="71" t="str">
        <f>IFERROR(('1C-Analiza_fin_extinsa'!D13*360)/'1C-Analiza_fin_extinsa'!D25,"")</f>
        <v/>
      </c>
    </row>
    <row r="68" spans="1:4" s="72" customFormat="1" ht="15.6" customHeight="1" x14ac:dyDescent="0.3">
      <c r="A68" s="233" t="s">
        <v>214</v>
      </c>
      <c r="B68" s="254">
        <f>'1A-Bilant'!B5</f>
        <v>2018</v>
      </c>
      <c r="C68" s="254">
        <f>'1A-Bilant'!C5</f>
        <v>2019</v>
      </c>
      <c r="D68" s="254" t="str">
        <f>'1A-Bilant'!D5</f>
        <v>AN</v>
      </c>
    </row>
    <row r="69" spans="1:4" x14ac:dyDescent="0.3">
      <c r="A69" s="67" t="s">
        <v>215</v>
      </c>
      <c r="B69" s="76">
        <f>IFERROR('1C-Analiza_fin_extinsa'!B25/'1C-Analiza_fin_extinsa'!B21,"")</f>
        <v>0</v>
      </c>
      <c r="C69" s="76">
        <f>IFERROR('1C-Analiza_fin_extinsa'!C25/'1C-Analiza_fin_extinsa'!C21,"")</f>
        <v>2.1350258828577218</v>
      </c>
      <c r="D69" s="76" t="str">
        <f>IFERROR('1C-Analiza_fin_extinsa'!D25/'1C-Analiza_fin_extinsa'!D21,"")</f>
        <v/>
      </c>
    </row>
    <row r="70" spans="1:4" s="60" customFormat="1" ht="15" customHeight="1" x14ac:dyDescent="0.3">
      <c r="A70" s="67" t="s">
        <v>216</v>
      </c>
      <c r="B70" s="76">
        <f>IFERROR('1C-Analiza_fin_extinsa'!B25/'1C-Analiza_fin_extinsa'!B4,"")</f>
        <v>0</v>
      </c>
      <c r="C70" s="76">
        <f>IFERROR('1C-Analiza_fin_extinsa'!C25/'1C-Analiza_fin_extinsa'!C4,"")</f>
        <v>2.5485678786060899</v>
      </c>
      <c r="D70" s="76" t="str">
        <f>IFERROR('1C-Analiza_fin_extinsa'!D25/'1C-Analiza_fin_extinsa'!D4,"")</f>
        <v/>
      </c>
    </row>
    <row r="71" spans="1:4" s="60" customFormat="1" ht="15" customHeight="1" x14ac:dyDescent="0.3">
      <c r="A71" s="67" t="s">
        <v>217</v>
      </c>
      <c r="B71" s="76">
        <f>IFERROR('1C-Analiza_fin_extinsa'!B25/'1C-Analiza_fin_extinsa'!B5,"")</f>
        <v>0</v>
      </c>
      <c r="C71" s="76">
        <f>IFERROR('1C-Analiza_fin_extinsa'!C25/'1C-Analiza_fin_extinsa'!C5,"")</f>
        <v>13.157692425401683</v>
      </c>
      <c r="D71" s="76" t="str">
        <f>IFERROR('1C-Analiza_fin_extinsa'!D25/'1C-Analiza_fin_extinsa'!D5,"")</f>
        <v/>
      </c>
    </row>
    <row r="72" spans="1:4" s="60" customFormat="1" ht="15" customHeight="1" x14ac:dyDescent="0.3">
      <c r="A72" s="67" t="s">
        <v>218</v>
      </c>
      <c r="B72" s="76" t="str">
        <f>IFERROR('1C-Analiza_fin_extinsa'!B25/'1C-Analiza_fin_extinsa'!B6,"")</f>
        <v/>
      </c>
      <c r="C72" s="76">
        <f>IFERROR('1C-Analiza_fin_extinsa'!C25/'1C-Analiza_fin_extinsa'!C6,"")</f>
        <v>33.591767849608551</v>
      </c>
      <c r="D72" s="76" t="str">
        <f>IFERROR('1C-Analiza_fin_extinsa'!D25/'1C-Analiza_fin_extinsa'!D6,"")</f>
        <v/>
      </c>
    </row>
    <row r="73" spans="1:4" s="60" customFormat="1" ht="15" customHeight="1" x14ac:dyDescent="0.3">
      <c r="A73" s="67" t="s">
        <v>219</v>
      </c>
      <c r="B73" s="76" t="str">
        <f>IFERROR('1C-Analiza_fin_extinsa'!B25/'1C-Analiza_fin_extinsa'!B7,"")</f>
        <v/>
      </c>
      <c r="C73" s="76">
        <f>IFERROR('1C-Analiza_fin_extinsa'!C25/'1C-Analiza_fin_extinsa'!C7,"")</f>
        <v>25.472058962934874</v>
      </c>
      <c r="D73" s="76" t="str">
        <f>IFERROR('1C-Analiza_fin_extinsa'!D25/'1C-Analiza_fin_extinsa'!D7,"")</f>
        <v/>
      </c>
    </row>
    <row r="74" spans="1:4" s="60" customFormat="1" ht="15" customHeight="1" x14ac:dyDescent="0.3">
      <c r="A74" s="67" t="s">
        <v>220</v>
      </c>
      <c r="B74" s="76" t="str">
        <f>IFERROR('1C-Analiza_fin_extinsa'!B25/'1C-Analiza_fin_extinsa'!B13,"")</f>
        <v/>
      </c>
      <c r="C74" s="76">
        <f>IFERROR('1C-Analiza_fin_extinsa'!C25/'1C-Analiza_fin_extinsa'!C13,"")</f>
        <v>85.414948146382173</v>
      </c>
      <c r="D74" s="76" t="str">
        <f>IFERROR('1C-Analiza_fin_extinsa'!D25/'1C-Analiza_fin_extinsa'!D13,"")</f>
        <v/>
      </c>
    </row>
    <row r="75" spans="1:4" s="60" customFormat="1" ht="15" hidden="1" customHeight="1" x14ac:dyDescent="0.3">
      <c r="A75" s="73" t="s">
        <v>221</v>
      </c>
      <c r="B75" s="231"/>
      <c r="C75" s="231"/>
      <c r="D75" s="231"/>
    </row>
    <row r="76" spans="1:4" s="60" customFormat="1" ht="15" hidden="1" customHeight="1" x14ac:dyDescent="0.3">
      <c r="A76" s="102" t="s">
        <v>222</v>
      </c>
      <c r="B76" s="103" t="e">
        <f>'1C-Analiza_fin_extinsa'!B21/'1C-Analiza_fin_extinsa'!B25</f>
        <v>#DIV/0!</v>
      </c>
      <c r="C76" s="103">
        <f>'1C-Analiza_fin_extinsa'!C21/'1C-Analiza_fin_extinsa'!C25</f>
        <v>0.46837839673470605</v>
      </c>
      <c r="D76" s="103" t="e">
        <f>'1C-Analiza_fin_extinsa'!D21/'1C-Analiza_fin_extinsa'!D25</f>
        <v>#DIV/0!</v>
      </c>
    </row>
    <row r="77" spans="1:4" s="60" customFormat="1" ht="15" hidden="1" customHeight="1" x14ac:dyDescent="0.3">
      <c r="A77" s="102" t="s">
        <v>223</v>
      </c>
      <c r="B77" s="103" t="e">
        <f>'1C-Analiza_fin_extinsa'!B4/'1C-Analiza_fin_extinsa'!B25</f>
        <v>#DIV/0!</v>
      </c>
      <c r="C77" s="103">
        <f>'1C-Analiza_fin_extinsa'!C4/'1C-Analiza_fin_extinsa'!C25</f>
        <v>0.39237722816585863</v>
      </c>
      <c r="D77" s="103" t="e">
        <f>'1C-Analiza_fin_extinsa'!D4/'1C-Analiza_fin_extinsa'!D25</f>
        <v>#DIV/0!</v>
      </c>
    </row>
    <row r="78" spans="1:4" s="60" customFormat="1" ht="15" hidden="1" customHeight="1" x14ac:dyDescent="0.3">
      <c r="A78" s="102" t="s">
        <v>224</v>
      </c>
      <c r="B78" s="103" t="e">
        <f>'1C-Analiza_fin_extinsa'!B5/'1C-Analiza_fin_extinsa'!B25</f>
        <v>#DIV/0!</v>
      </c>
      <c r="C78" s="103">
        <f>'1C-Analiza_fin_extinsa'!C5/'1C-Analiza_fin_extinsa'!C25</f>
        <v>7.6001168568847408E-2</v>
      </c>
      <c r="D78" s="103" t="e">
        <f>'1C-Analiza_fin_extinsa'!D5/'1C-Analiza_fin_extinsa'!D25</f>
        <v>#DIV/0!</v>
      </c>
    </row>
    <row r="79" spans="1:4" s="60" customFormat="1" ht="15" hidden="1" customHeight="1" x14ac:dyDescent="0.3">
      <c r="A79" s="102" t="s">
        <v>225</v>
      </c>
      <c r="B79" s="103" t="e">
        <f>'1C-Analiza_fin_extinsa'!B6/'1C-Analiza_fin_extinsa'!B25</f>
        <v>#DIV/0!</v>
      </c>
      <c r="C79" s="103">
        <f>'1C-Analiza_fin_extinsa'!C6/'1C-Analiza_fin_extinsa'!C25</f>
        <v>2.9769198348745231E-2</v>
      </c>
      <c r="D79" s="103" t="e">
        <f>'1C-Analiza_fin_extinsa'!D6/'1C-Analiza_fin_extinsa'!D25</f>
        <v>#DIV/0!</v>
      </c>
    </row>
    <row r="80" spans="1:4" s="60" customFormat="1" ht="15" hidden="1" customHeight="1" x14ac:dyDescent="0.3">
      <c r="A80" s="102" t="s">
        <v>226</v>
      </c>
      <c r="B80" s="103" t="e">
        <f>'1C-Analiza_fin_extinsa'!B7/'1C-Analiza_fin_extinsa'!B25</f>
        <v>#DIV/0!</v>
      </c>
      <c r="C80" s="103">
        <f>'1C-Analiza_fin_extinsa'!C7/'1C-Analiza_fin_extinsa'!C25</f>
        <v>3.9258703093265006E-2</v>
      </c>
      <c r="D80" s="103" t="e">
        <f>'1C-Analiza_fin_extinsa'!D7/'1C-Analiza_fin_extinsa'!D25</f>
        <v>#DIV/0!</v>
      </c>
    </row>
    <row r="81" spans="1:6" s="60" customFormat="1" ht="15" hidden="1" customHeight="1" x14ac:dyDescent="0.3">
      <c r="A81" s="102" t="s">
        <v>227</v>
      </c>
      <c r="B81" s="103" t="e">
        <f>'1C-Analiza_fin_extinsa'!B13/'1C-Analiza_fin_extinsa'!B25</f>
        <v>#DIV/0!</v>
      </c>
      <c r="C81" s="103">
        <f>'1C-Analiza_fin_extinsa'!C13/'1C-Analiza_fin_extinsa'!C25</f>
        <v>1.1707552620487728E-2</v>
      </c>
      <c r="D81" s="103" t="e">
        <f>'1C-Analiza_fin_extinsa'!D13/'1C-Analiza_fin_extinsa'!D25</f>
        <v>#DIV/0!</v>
      </c>
    </row>
    <row r="82" spans="1:6" s="60" customFormat="1" ht="15" hidden="1" customHeight="1" x14ac:dyDescent="0.3">
      <c r="A82" s="74" t="s">
        <v>228</v>
      </c>
      <c r="B82" s="75" t="e">
        <f>'1C-Analiza_fin_extinsa'!B9/'1C-Analiza_fin_extinsa'!B25</f>
        <v>#DIV/0!</v>
      </c>
      <c r="C82" s="75">
        <f>'1C-Analiza_fin_extinsa'!C9/'1C-Analiza_fin_extinsa'!C25</f>
        <v>6.9732671268371701E-3</v>
      </c>
      <c r="D82" s="75" t="e">
        <f>'1C-Analiza_fin_extinsa'!D9/'1C-Analiza_fin_extinsa'!D25</f>
        <v>#DIV/0!</v>
      </c>
    </row>
    <row r="84" spans="1:6" x14ac:dyDescent="0.3">
      <c r="A84" s="233" t="s">
        <v>229</v>
      </c>
      <c r="B84" s="254">
        <f>'1A-Bilant'!B5</f>
        <v>2018</v>
      </c>
      <c r="C84" s="254">
        <f>'1A-Bilant'!C5</f>
        <v>2019</v>
      </c>
      <c r="D84" s="254" t="str">
        <f>'1A-Bilant'!D5</f>
        <v>AN</v>
      </c>
    </row>
    <row r="85" spans="1:6" x14ac:dyDescent="0.3">
      <c r="A85" s="219" t="s">
        <v>230</v>
      </c>
      <c r="B85" s="220">
        <f>IFERROR('1C-Analiza_fin_extinsa'!B5/'1C-Analiza_fin_extinsa'!B11,"")</f>
        <v>0.20856</v>
      </c>
      <c r="C85" s="220">
        <f>IFERROR('1C-Analiza_fin_extinsa'!C5/'1C-Analiza_fin_extinsa'!C11,"")</f>
        <v>2.2737077963648509</v>
      </c>
      <c r="D85" s="220" t="str">
        <f>IFERROR('1C-Analiza_fin_extinsa'!D5/'1C-Analiza_fin_extinsa'!D11,"")</f>
        <v/>
      </c>
      <c r="F85" s="218"/>
    </row>
    <row r="86" spans="1:6" x14ac:dyDescent="0.3">
      <c r="A86" s="67" t="s">
        <v>231</v>
      </c>
      <c r="B86" s="76">
        <f>IFERROR(('1C-Analiza_fin_extinsa'!B5-'1C-Analiza_fin_extinsa'!B6)/'1C-Analiza_fin_extinsa'!B11,"")</f>
        <v>0.20856</v>
      </c>
      <c r="C86" s="76">
        <f>IFERROR(('1C-Analiza_fin_extinsa'!C5-'1C-Analiza_fin_extinsa'!C6)/'1C-Analiza_fin_extinsa'!C11,"")</f>
        <v>1.3831101956745624</v>
      </c>
      <c r="D86" s="76" t="str">
        <f>IFERROR(('1C-Analiza_fin_extinsa'!D5-'1C-Analiza_fin_extinsa'!D6)/'1C-Analiza_fin_extinsa'!D11,"")</f>
        <v/>
      </c>
    </row>
    <row r="87" spans="1:6" x14ac:dyDescent="0.3">
      <c r="A87" s="67" t="s">
        <v>232</v>
      </c>
      <c r="B87" s="76">
        <f>IFERROR('1C-Analiza_fin_extinsa'!B9/'1C-Analiza_fin_extinsa'!B11,"")</f>
        <v>0.20856</v>
      </c>
      <c r="C87" s="76">
        <f>IFERROR('1C-Analiza_fin_extinsa'!C9/'1C-Analiza_fin_extinsa'!C11,"")</f>
        <v>0.20861747432293262</v>
      </c>
      <c r="D87" s="76" t="str">
        <f>IFERROR('1C-Analiza_fin_extinsa'!D9/'1C-Analiza_fin_extinsa'!D11,"")</f>
        <v/>
      </c>
    </row>
    <row r="89" spans="1:6" x14ac:dyDescent="0.3">
      <c r="A89" s="104" t="s">
        <v>233</v>
      </c>
      <c r="B89" s="254">
        <f>'1A-Bilant'!B5</f>
        <v>2018</v>
      </c>
      <c r="C89" s="254">
        <f>'1A-Bilant'!C5</f>
        <v>2019</v>
      </c>
      <c r="D89" s="254" t="str">
        <f>'1A-Bilant'!D5</f>
        <v>AN</v>
      </c>
    </row>
    <row r="90" spans="1:6" x14ac:dyDescent="0.3">
      <c r="A90" s="67" t="s">
        <v>234</v>
      </c>
      <c r="B90" s="76">
        <f>IFERROR('1C-Analiza_fin_extinsa'!B10/'1C-Analiza_fin_extinsa'!B11,"")</f>
        <v>0.97931999999999997</v>
      </c>
      <c r="C90" s="76">
        <f>IFERROR('1C-Analiza_fin_extinsa'!C10/'1C-Analiza_fin_extinsa'!C11,"")</f>
        <v>14.012358393408856</v>
      </c>
      <c r="D90" s="76" t="str">
        <f>IFERROR('1C-Analiza_fin_extinsa'!D10/'1C-Analiza_fin_extinsa'!D11,"")</f>
        <v/>
      </c>
    </row>
    <row r="91" spans="1:6" x14ac:dyDescent="0.3">
      <c r="A91" s="219" t="s">
        <v>235</v>
      </c>
      <c r="B91" s="220">
        <f>IFERROR('1C-Analiza_fin_extinsa'!B10/('1C-Analiza_fin_extinsa'!B11+'1C-Analiza_fin_extinsa'!B16),"")</f>
        <v>0.97931999999999997</v>
      </c>
      <c r="C91" s="220">
        <f>IFERROR('1C-Analiza_fin_extinsa'!C10/('1C-Analiza_fin_extinsa'!C11+'1C-Analiza_fin_extinsa'!C16),"")</f>
        <v>5.4437535819717331</v>
      </c>
      <c r="D91" s="220" t="str">
        <f>IFERROR('1C-Analiza_fin_extinsa'!D10/('1C-Analiza_fin_extinsa'!D11+'1C-Analiza_fin_extinsa'!D16),"")</f>
        <v/>
      </c>
    </row>
    <row r="92" spans="1:6" ht="27.6" customHeight="1" x14ac:dyDescent="0.3">
      <c r="A92" s="67" t="s">
        <v>236</v>
      </c>
      <c r="B92" s="76">
        <f>IFERROR('1C-Analiza_fin_extinsa'!B20/('1C-Analiza_fin_extinsa'!B20+'1C-Analiza_fin_extinsa'!B16),"")</f>
        <v>1</v>
      </c>
      <c r="C92" s="76">
        <f>IFERROR('1C-Analiza_fin_extinsa'!C20/('1C-Analiza_fin_extinsa'!C20+'1C-Analiza_fin_extinsa'!C16),"")</f>
        <v>0.87903613942395109</v>
      </c>
      <c r="D92" s="76" t="str">
        <f>IFERROR('1C-Analiza_fin_extinsa'!D20/('1C-Analiza_fin_extinsa'!D20+'1C-Analiza_fin_extinsa'!D16),"")</f>
        <v/>
      </c>
    </row>
    <row r="93" spans="1:6" x14ac:dyDescent="0.3">
      <c r="A93" s="67" t="s">
        <v>237</v>
      </c>
      <c r="B93" s="69">
        <f>IFERROR('1C-Analiza_fin_extinsa'!B20/'1C-Analiza_fin_extinsa'!B21,"")</f>
        <v>-2.1116693215700689E-2</v>
      </c>
      <c r="C93" s="69">
        <f>IFERROR('1C-Analiza_fin_extinsa'!C20/'1C-Analiza_fin_extinsa'!C21,"")</f>
        <v>0.81630322075713813</v>
      </c>
      <c r="D93" s="69" t="str">
        <f>IFERROR('1C-Analiza_fin_extinsa'!D20/'1C-Analiza_fin_extinsa'!D21,"")</f>
        <v/>
      </c>
    </row>
    <row r="94" spans="1:6" x14ac:dyDescent="0.3">
      <c r="A94" s="67" t="s">
        <v>238</v>
      </c>
      <c r="B94" s="69">
        <f>IFERROR('1C-Analiza_fin_extinsa'!B16/'1C-Analiza_fin_extinsa'!B20,"")</f>
        <v>0</v>
      </c>
      <c r="C94" s="69">
        <f>IFERROR('1C-Analiza_fin_extinsa'!C16/'1C-Analiza_fin_extinsa'!C20,"")</f>
        <v>0.13760965579335435</v>
      </c>
      <c r="D94" s="69" t="str">
        <f>IFERROR('1C-Analiza_fin_extinsa'!D16/'1C-Analiza_fin_extinsa'!D20,"")</f>
        <v/>
      </c>
    </row>
    <row r="95" spans="1:6" x14ac:dyDescent="0.3">
      <c r="A95" s="67" t="s">
        <v>239</v>
      </c>
      <c r="B95" s="69">
        <f>IFERROR('1C-Analiza_fin_extinsa'!B16/'1C-Analiza_fin_extinsa'!B21,"")</f>
        <v>0</v>
      </c>
      <c r="C95" s="69">
        <f>IFERROR('1C-Analiza_fin_extinsa'!C16/'1C-Analiza_fin_extinsa'!C21,"")</f>
        <v>0.11233120523139632</v>
      </c>
      <c r="D95" s="69" t="str">
        <f>IFERROR('1C-Analiza_fin_extinsa'!D16/'1C-Analiza_fin_extinsa'!D21,"")</f>
        <v/>
      </c>
    </row>
    <row r="96" spans="1:6" ht="15" customHeight="1" x14ac:dyDescent="0.3">
      <c r="A96" s="67" t="s">
        <v>240</v>
      </c>
      <c r="B96" s="69">
        <f>IFERROR('1C-Analiza_fin_extinsa'!B11/'1C-Analiza_fin_extinsa'!B21,"")</f>
        <v>1.0211166932157008</v>
      </c>
      <c r="C96" s="69">
        <f>IFERROR('1C-Analiza_fin_extinsa'!C11/'1C-Analiza_fin_extinsa'!C21,"")</f>
        <v>7.1365574011465524E-2</v>
      </c>
      <c r="D96" s="69" t="str">
        <f>IFERROR('1C-Analiza_fin_extinsa'!D11/'1C-Analiza_fin_extinsa'!D21,"")</f>
        <v/>
      </c>
    </row>
    <row r="97" spans="1:4" x14ac:dyDescent="0.3">
      <c r="A97" s="221" t="s">
        <v>241</v>
      </c>
      <c r="B97" s="222">
        <f>IFERROR(('1C-Analiza_fin_extinsa'!B11+'1C-Analiza_fin_extinsa'!B16)/'1C-Analiza_fin_extinsa'!B21,"")</f>
        <v>1.0211166932157008</v>
      </c>
      <c r="C97" s="222">
        <f>IFERROR(('1C-Analiza_fin_extinsa'!C11+'1C-Analiza_fin_extinsa'!C16)/'1C-Analiza_fin_extinsa'!C21,"")</f>
        <v>0.18369677924286185</v>
      </c>
      <c r="D97" s="222" t="str">
        <f>IFERROR(('1C-Analiza_fin_extinsa'!D11+'1C-Analiza_fin_extinsa'!D16)/'1C-Analiza_fin_extinsa'!D21,"")</f>
        <v/>
      </c>
    </row>
  </sheetData>
  <mergeCells count="3">
    <mergeCell ref="A1:D1"/>
    <mergeCell ref="A2:D2"/>
    <mergeCell ref="A3:D3"/>
  </mergeCells>
  <conditionalFormatting sqref="B43:D44">
    <cfRule type="cellIs" dxfId="8" priority="1" operator="lessThan">
      <formula>0</formula>
    </cfRule>
  </conditionalFormatting>
  <pageMargins left="0.7" right="0.7" top="0.75" bottom="0.75" header="0.3" footer="0.3"/>
  <pageSetup paperSize="9" fitToHeight="0" orientation="portrait" blackAndWhite="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F27"/>
  <sheetViews>
    <sheetView workbookViewId="0">
      <selection activeCell="F10" sqref="F10"/>
    </sheetView>
  </sheetViews>
  <sheetFormatPr defaultColWidth="9.109375" defaultRowHeight="13.8" x14ac:dyDescent="0.3"/>
  <cols>
    <col min="1" max="1" width="3.5546875" style="281" customWidth="1"/>
    <col min="2" max="4" width="9.109375" style="281" customWidth="1"/>
    <col min="5" max="5" width="15.5546875" style="281" customWidth="1"/>
    <col min="6" max="6" width="49.6640625" style="281" customWidth="1"/>
    <col min="7" max="8" width="9.109375" style="281" customWidth="1"/>
    <col min="9" max="16384" width="9.109375" style="281"/>
  </cols>
  <sheetData>
    <row r="1" spans="1:6" ht="14.4" customHeight="1" x14ac:dyDescent="0.3">
      <c r="A1" s="282" t="s">
        <v>242</v>
      </c>
      <c r="B1" s="282"/>
      <c r="C1" s="282"/>
      <c r="D1" s="282"/>
      <c r="E1" s="77"/>
      <c r="F1" s="77"/>
    </row>
    <row r="2" spans="1:6" x14ac:dyDescent="0.3">
      <c r="A2" s="1"/>
      <c r="B2" s="1"/>
      <c r="C2" s="1"/>
      <c r="D2" s="1"/>
      <c r="E2" s="1"/>
      <c r="F2" s="1"/>
    </row>
    <row r="3" spans="1:6" x14ac:dyDescent="0.3">
      <c r="A3" s="319" t="s">
        <v>243</v>
      </c>
      <c r="B3" s="320"/>
      <c r="C3" s="320"/>
      <c r="D3" s="320"/>
      <c r="E3" s="320"/>
      <c r="F3" s="320"/>
    </row>
    <row r="4" spans="1:6" ht="39" customHeight="1" x14ac:dyDescent="0.3">
      <c r="A4" s="319" t="s">
        <v>244</v>
      </c>
      <c r="B4" s="320"/>
      <c r="C4" s="320"/>
      <c r="D4" s="320"/>
      <c r="E4" s="320"/>
      <c r="F4" s="320"/>
    </row>
    <row r="5" spans="1:6" x14ac:dyDescent="0.3">
      <c r="A5" s="285"/>
      <c r="B5" s="285"/>
      <c r="C5" s="285"/>
      <c r="D5" s="285"/>
      <c r="E5" s="285"/>
      <c r="F5" s="285"/>
    </row>
    <row r="6" spans="1:6" x14ac:dyDescent="0.3">
      <c r="A6" s="336" t="s">
        <v>245</v>
      </c>
      <c r="B6" s="320"/>
      <c r="C6" s="320"/>
      <c r="D6" s="320"/>
      <c r="E6" s="320"/>
      <c r="F6" s="320"/>
    </row>
    <row r="8" spans="1:6" ht="54" customHeight="1" x14ac:dyDescent="0.3">
      <c r="A8" s="2" t="s">
        <v>246</v>
      </c>
      <c r="B8" s="334" t="s">
        <v>247</v>
      </c>
      <c r="C8" s="324"/>
      <c r="D8" s="324"/>
      <c r="E8" s="324"/>
      <c r="F8" s="335"/>
    </row>
    <row r="9" spans="1:6" x14ac:dyDescent="0.3">
      <c r="A9" s="78"/>
      <c r="B9" s="337" t="s">
        <v>248</v>
      </c>
      <c r="C9" s="320"/>
      <c r="D9" s="320"/>
      <c r="E9" s="320"/>
      <c r="F9" s="322"/>
    </row>
    <row r="10" spans="1:6" x14ac:dyDescent="0.3">
      <c r="A10" s="78"/>
      <c r="B10" s="328" t="s">
        <v>249</v>
      </c>
      <c r="C10" s="320"/>
      <c r="D10" s="320"/>
      <c r="E10" s="320"/>
      <c r="F10" s="240">
        <f>'1A-Bilant'!C82</f>
        <v>-717</v>
      </c>
    </row>
    <row r="11" spans="1:6" x14ac:dyDescent="0.3">
      <c r="A11" s="78"/>
      <c r="B11" s="328" t="s">
        <v>250</v>
      </c>
      <c r="C11" s="320"/>
      <c r="D11" s="320"/>
      <c r="E11" s="320"/>
      <c r="F11" s="240">
        <f>'1A-Bilant'!C85</f>
        <v>822407</v>
      </c>
    </row>
    <row r="12" spans="1:6" x14ac:dyDescent="0.3">
      <c r="A12" s="78"/>
      <c r="B12" s="329" t="s">
        <v>251</v>
      </c>
      <c r="C12" s="320"/>
      <c r="D12" s="320"/>
      <c r="E12" s="320"/>
      <c r="F12" s="241">
        <f>F10+F11</f>
        <v>821690</v>
      </c>
    </row>
    <row r="13" spans="1:6" ht="27" customHeight="1" x14ac:dyDescent="0.3">
      <c r="A13" s="78"/>
      <c r="B13" s="331" t="s">
        <v>252</v>
      </c>
      <c r="C13" s="320"/>
      <c r="D13" s="320"/>
      <c r="E13" s="320"/>
      <c r="F13" s="322"/>
    </row>
    <row r="14" spans="1:6" ht="25.5" customHeight="1" x14ac:dyDescent="0.3">
      <c r="A14" s="78"/>
      <c r="B14" s="330" t="s">
        <v>253</v>
      </c>
      <c r="C14" s="326"/>
      <c r="D14" s="326"/>
      <c r="E14" s="326"/>
      <c r="F14" s="327"/>
    </row>
    <row r="15" spans="1:6" x14ac:dyDescent="0.3">
      <c r="A15" s="78"/>
      <c r="B15" s="328" t="s">
        <v>254</v>
      </c>
      <c r="C15" s="320"/>
      <c r="D15" s="320"/>
      <c r="E15" s="320"/>
      <c r="F15" s="240">
        <f>'1A-Bilant'!C69</f>
        <v>200</v>
      </c>
    </row>
    <row r="16" spans="1:6" x14ac:dyDescent="0.3">
      <c r="A16" s="78"/>
      <c r="B16" s="328" t="s">
        <v>255</v>
      </c>
      <c r="C16" s="320"/>
      <c r="D16" s="320"/>
      <c r="E16" s="320"/>
      <c r="F16" s="240">
        <f>'1A-Bilant'!C74</f>
        <v>0</v>
      </c>
    </row>
    <row r="17" spans="1:6" x14ac:dyDescent="0.3">
      <c r="A17" s="78"/>
      <c r="B17" s="333" t="s">
        <v>256</v>
      </c>
      <c r="C17" s="320"/>
      <c r="D17" s="320"/>
      <c r="E17" s="320"/>
      <c r="F17" s="240">
        <f>'1A-Bilant'!C75</f>
        <v>0</v>
      </c>
    </row>
    <row r="18" spans="1:6" x14ac:dyDescent="0.3">
      <c r="A18" s="78"/>
      <c r="B18" s="333" t="s">
        <v>257</v>
      </c>
      <c r="C18" s="320"/>
      <c r="D18" s="320"/>
      <c r="E18" s="320"/>
      <c r="F18" s="240">
        <f>'1A-Bilant'!C78</f>
        <v>40</v>
      </c>
    </row>
    <row r="19" spans="1:6" x14ac:dyDescent="0.3">
      <c r="A19" s="78"/>
      <c r="B19" s="332" t="s">
        <v>258</v>
      </c>
      <c r="C19" s="320"/>
      <c r="D19" s="320"/>
      <c r="E19" s="320"/>
      <c r="F19" s="241">
        <f>F12+SUM(F16:F18)</f>
        <v>821730</v>
      </c>
    </row>
    <row r="20" spans="1:6" ht="29.25" customHeight="1" x14ac:dyDescent="0.3">
      <c r="A20" s="78"/>
      <c r="B20" s="325" t="s">
        <v>259</v>
      </c>
      <c r="C20" s="326"/>
      <c r="D20" s="326"/>
      <c r="E20" s="326"/>
      <c r="F20" s="327"/>
    </row>
    <row r="21" spans="1:6" ht="18" customHeight="1" x14ac:dyDescent="0.3">
      <c r="A21" s="78"/>
      <c r="B21" s="286" t="s">
        <v>260</v>
      </c>
      <c r="C21" s="321" t="str">
        <f>CONCATENATE("Solicitantul ",IF(F12&gt;=0,"nu ",IF(F19&gt;=0,"nu ", IF(ABS(F19)&gt;F15/2,"","nu "))),"se încadrează în categoria întreprinderilor în dificultate")</f>
        <v>Solicitantul nu se încadrează în categoria întreprinderilor în dificultate</v>
      </c>
      <c r="D21" s="320"/>
      <c r="E21" s="320"/>
      <c r="F21" s="322"/>
    </row>
    <row r="22" spans="1:6" x14ac:dyDescent="0.3">
      <c r="A22" s="78"/>
      <c r="B22" s="79"/>
      <c r="C22" s="79"/>
      <c r="D22" s="79"/>
      <c r="E22" s="79"/>
      <c r="F22" s="80"/>
    </row>
    <row r="23" spans="1:6" ht="39" customHeight="1" x14ac:dyDescent="0.3">
      <c r="A23" s="3" t="s">
        <v>261</v>
      </c>
      <c r="B23" s="323" t="s">
        <v>262</v>
      </c>
      <c r="C23" s="324"/>
      <c r="D23" s="324"/>
      <c r="E23" s="324"/>
      <c r="F23" s="324"/>
    </row>
    <row r="24" spans="1:6" ht="26.25" customHeight="1" x14ac:dyDescent="0.3">
      <c r="A24" s="3" t="s">
        <v>263</v>
      </c>
      <c r="B24" s="323" t="s">
        <v>264</v>
      </c>
      <c r="C24" s="324"/>
      <c r="D24" s="324"/>
      <c r="E24" s="324"/>
      <c r="F24" s="324"/>
    </row>
    <row r="27" spans="1:6" ht="25.5" customHeight="1" x14ac:dyDescent="0.3">
      <c r="A27" s="319" t="s">
        <v>265</v>
      </c>
      <c r="B27" s="320"/>
      <c r="C27" s="320"/>
      <c r="D27" s="320"/>
      <c r="E27" s="320"/>
      <c r="F27" s="320"/>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1" right="0.70866141732283472" top="0.74803149606299213" bottom="0.74803149606299213" header="0.31496062992125978" footer="0.31496062992125978"/>
  <pageSetup paperSize="9" orientation="portrait" blackAndWhite="1"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N57"/>
  <sheetViews>
    <sheetView workbookViewId="0">
      <selection activeCell="H31" sqref="H31"/>
    </sheetView>
  </sheetViews>
  <sheetFormatPr defaultColWidth="9.109375" defaultRowHeight="13.8" x14ac:dyDescent="0.3"/>
  <cols>
    <col min="1" max="1" width="6.6640625" style="187" customWidth="1"/>
    <col min="2" max="2" width="65" style="102" customWidth="1"/>
    <col min="3" max="3" width="12.33203125" style="188" customWidth="1"/>
    <col min="4" max="4" width="12.33203125" style="189" customWidth="1"/>
    <col min="5" max="5" width="11.77734375" style="190" customWidth="1"/>
    <col min="6" max="7" width="12.33203125" style="190" customWidth="1"/>
    <col min="8" max="13" width="11.44140625" style="231" customWidth="1"/>
    <col min="14" max="14" width="11.5546875" style="231" customWidth="1"/>
    <col min="15" max="15" width="11.5546875" style="281" customWidth="1"/>
    <col min="16" max="17" width="9.109375" style="281" customWidth="1"/>
    <col min="18" max="16384" width="9.109375" style="281"/>
  </cols>
  <sheetData>
    <row r="1" spans="1:14" x14ac:dyDescent="0.3">
      <c r="A1" s="344" t="s">
        <v>266</v>
      </c>
      <c r="B1" s="345"/>
      <c r="C1" s="346"/>
      <c r="D1" s="347"/>
      <c r="E1" s="348"/>
      <c r="F1" s="348"/>
      <c r="G1" s="348"/>
    </row>
    <row r="2" spans="1:14" ht="40.5" customHeight="1" x14ac:dyDescent="0.3">
      <c r="A2" s="310" t="s">
        <v>267</v>
      </c>
      <c r="B2" s="345"/>
      <c r="C2" s="346"/>
      <c r="D2" s="347"/>
      <c r="E2" s="348"/>
      <c r="F2" s="348"/>
      <c r="G2" s="348"/>
    </row>
    <row r="3" spans="1:14" x14ac:dyDescent="0.3">
      <c r="B3" s="318"/>
      <c r="C3" s="346"/>
    </row>
    <row r="4" spans="1:14" ht="13.8" customHeight="1" x14ac:dyDescent="0.3">
      <c r="A4" s="349" t="s">
        <v>268</v>
      </c>
      <c r="B4" s="352" t="s">
        <v>269</v>
      </c>
      <c r="C4" s="352" t="s">
        <v>270</v>
      </c>
      <c r="D4" s="352" t="s">
        <v>271</v>
      </c>
      <c r="E4" s="248" t="s">
        <v>272</v>
      </c>
      <c r="F4" s="231"/>
      <c r="G4" s="231"/>
      <c r="L4" s="281"/>
      <c r="M4" s="281"/>
      <c r="N4" s="281"/>
    </row>
    <row r="5" spans="1:14" s="288" customFormat="1" ht="15" customHeight="1" x14ac:dyDescent="0.3">
      <c r="A5" s="350"/>
      <c r="B5" s="350"/>
      <c r="C5" s="350"/>
      <c r="D5" s="350"/>
      <c r="E5" s="177" t="s">
        <v>273</v>
      </c>
      <c r="F5" s="167"/>
      <c r="G5" s="167"/>
      <c r="H5" s="167"/>
      <c r="I5" s="167"/>
      <c r="J5" s="167"/>
      <c r="K5" s="167"/>
    </row>
    <row r="6" spans="1:14" s="197" customFormat="1" ht="14.4" customHeight="1" x14ac:dyDescent="0.3">
      <c r="A6" s="168" t="str">
        <f>'2A-Buget_cerere'!A5</f>
        <v>1.1</v>
      </c>
      <c r="B6" s="169" t="str">
        <f>'2A-Buget_cerere'!B5</f>
        <v>Cheltuieli cu realizarea/achizitia constructiilor</v>
      </c>
      <c r="C6" s="179">
        <f>'2A-Buget_cerere'!I5</f>
        <v>0</v>
      </c>
      <c r="D6" s="40" t="str">
        <f t="shared" ref="D6:D19" si="0">IF(E6&lt;&gt;C6,"Eroare!","")</f>
        <v/>
      </c>
      <c r="E6" s="32">
        <v>0</v>
      </c>
      <c r="F6" s="196"/>
      <c r="G6" s="196"/>
      <c r="H6" s="196"/>
      <c r="I6" s="196"/>
      <c r="J6" s="196"/>
      <c r="K6" s="196"/>
    </row>
    <row r="7" spans="1:14" s="197" customFormat="1" ht="27.6" customHeight="1" x14ac:dyDescent="0.3">
      <c r="A7" s="168" t="str">
        <f>'2A-Buget_cerere'!A6</f>
        <v>1.2</v>
      </c>
      <c r="B7" s="169" t="str">
        <f>'2A-Buget_cerere'!B6</f>
        <v>Echipamente, inclusiv IT&amp;C, tehnologii software, utilaje, instalatii, tehnologii, dotari independente</v>
      </c>
      <c r="C7" s="179">
        <f>'2A-Buget_cerere'!I6</f>
        <v>566655.67999999993</v>
      </c>
      <c r="D7" s="40" t="str">
        <f t="shared" si="0"/>
        <v/>
      </c>
      <c r="E7" s="32">
        <v>566655.68000000005</v>
      </c>
      <c r="F7" s="196"/>
      <c r="G7" s="196"/>
      <c r="H7" s="196"/>
      <c r="I7" s="196"/>
      <c r="J7" s="196"/>
      <c r="K7" s="196"/>
    </row>
    <row r="8" spans="1:14" s="202" customFormat="1" ht="14.4" customHeight="1" x14ac:dyDescent="0.3">
      <c r="A8" s="168" t="str">
        <f>'2A-Buget_cerere'!A7</f>
        <v>1.3</v>
      </c>
      <c r="B8" s="169" t="str">
        <f>'2A-Buget_cerere'!B7</f>
        <v>Mobilier de birou si mobilier specific</v>
      </c>
      <c r="C8" s="179">
        <f>'2A-Buget_cerere'!I7</f>
        <v>0</v>
      </c>
      <c r="D8" s="40" t="str">
        <f t="shared" si="0"/>
        <v/>
      </c>
      <c r="E8" s="32">
        <v>0</v>
      </c>
      <c r="F8" s="201"/>
      <c r="G8" s="196"/>
      <c r="H8" s="201"/>
      <c r="I8" s="201"/>
      <c r="J8" s="201"/>
      <c r="K8" s="201"/>
    </row>
    <row r="9" spans="1:14" s="197" customFormat="1" ht="14.4" customHeight="1" x14ac:dyDescent="0.3">
      <c r="A9" s="168" t="str">
        <f>'2A-Buget_cerere'!A8</f>
        <v>1.4</v>
      </c>
      <c r="B9" s="169" t="str">
        <f>'2A-Buget_cerere'!B8</f>
        <v>Terenuri in limita a 10% din valoarea eligibila a proiectului</v>
      </c>
      <c r="C9" s="179">
        <f>'2A-Buget_cerere'!I8</f>
        <v>0</v>
      </c>
      <c r="D9" s="40" t="str">
        <f t="shared" si="0"/>
        <v/>
      </c>
      <c r="E9" s="32">
        <v>0</v>
      </c>
      <c r="F9" s="196"/>
      <c r="G9" s="196"/>
      <c r="H9" s="196"/>
      <c r="I9" s="196"/>
      <c r="J9" s="196"/>
      <c r="K9" s="196"/>
    </row>
    <row r="10" spans="1:14" s="197" customFormat="1" ht="27.6" customHeight="1" x14ac:dyDescent="0.3">
      <c r="A10" s="168" t="str">
        <f>'2A-Buget_cerere'!A9</f>
        <v>1.5</v>
      </c>
      <c r="B10" s="169" t="str">
        <f>'2A-Buget_cerere'!B9</f>
        <v>Cheltuieli de sistemizare si amenajare teritoriale a terenurilor, cheltuieli de mediu, cheltuieli cu racordarea la utilitati, cheltuieli privind accesibilitatea</v>
      </c>
      <c r="C10" s="179">
        <f>'2A-Buget_cerere'!I9</f>
        <v>0</v>
      </c>
      <c r="D10" s="40" t="str">
        <f t="shared" si="0"/>
        <v/>
      </c>
      <c r="E10" s="32">
        <v>0</v>
      </c>
      <c r="F10" s="196"/>
      <c r="G10" s="196"/>
      <c r="H10" s="196"/>
      <c r="I10" s="196"/>
      <c r="J10" s="196"/>
      <c r="K10" s="196"/>
    </row>
    <row r="11" spans="1:14" s="197" customFormat="1" ht="27.6" customHeight="1" x14ac:dyDescent="0.3">
      <c r="A11" s="168" t="str">
        <f>'2A-Buget_cerere'!A10</f>
        <v>1.6</v>
      </c>
      <c r="B11" s="169" t="str">
        <f>'2A-Buget_cerere'!B10</f>
        <v>Cheltuieli cu consultanta si proiectarea, managementul de proiect, asistenta tehnica, dirigentia de santier</v>
      </c>
      <c r="C11" s="179">
        <f>'2A-Buget_cerere'!I10</f>
        <v>0</v>
      </c>
      <c r="D11" s="40" t="str">
        <f t="shared" si="0"/>
        <v/>
      </c>
      <c r="E11" s="32">
        <v>0</v>
      </c>
      <c r="F11" s="196"/>
      <c r="G11" s="196"/>
      <c r="H11" s="196"/>
      <c r="I11" s="196"/>
      <c r="J11" s="196"/>
      <c r="K11" s="196"/>
    </row>
    <row r="12" spans="1:14" s="197" customFormat="1" ht="27.6" customHeight="1" x14ac:dyDescent="0.3">
      <c r="A12" s="168" t="str">
        <f>'2A-Buget_cerere'!A11</f>
        <v>1.7</v>
      </c>
      <c r="B12" s="169" t="str">
        <f>'2A-Buget_cerere'!B11</f>
        <v>Cheltuieli de promovare, participare la targuri, evenimente, conferinte, cheltuieli privind studiile</v>
      </c>
      <c r="C12" s="179">
        <f>'2A-Buget_cerere'!I11</f>
        <v>0</v>
      </c>
      <c r="D12" s="40" t="str">
        <f t="shared" si="0"/>
        <v/>
      </c>
      <c r="E12" s="32">
        <v>0</v>
      </c>
      <c r="F12" s="196"/>
      <c r="G12" s="196"/>
      <c r="H12" s="196"/>
      <c r="I12" s="196"/>
      <c r="J12" s="196"/>
      <c r="K12" s="196"/>
    </row>
    <row r="13" spans="1:14" s="197" customFormat="1" ht="14.4" customHeight="1" x14ac:dyDescent="0.3">
      <c r="A13" s="168" t="str">
        <f>'2A-Buget_cerere'!A12</f>
        <v>1.8</v>
      </c>
      <c r="B13" s="169" t="str">
        <f>'2A-Buget_cerere'!B12</f>
        <v>Cheltuieli privind drepturile de proprietate intelectuala</v>
      </c>
      <c r="C13" s="179">
        <f>'2A-Buget_cerere'!I12</f>
        <v>0</v>
      </c>
      <c r="D13" s="40" t="str">
        <f t="shared" si="0"/>
        <v/>
      </c>
      <c r="E13" s="32">
        <v>0</v>
      </c>
      <c r="F13" s="196"/>
      <c r="G13" s="196"/>
      <c r="H13" s="196"/>
      <c r="I13" s="196"/>
      <c r="J13" s="196"/>
      <c r="K13" s="196"/>
    </row>
    <row r="14" spans="1:14" s="197" customFormat="1" ht="27.6" customHeight="1" x14ac:dyDescent="0.3">
      <c r="A14" s="168" t="str">
        <f>'2A-Buget_cerere'!A13</f>
        <v>1.9</v>
      </c>
      <c r="B14" s="169" t="str">
        <f>'2A-Buget_cerere'!B13</f>
        <v>Active necorporale referitoare la brevete de inventie, marci de produse, software necesar activitatii</v>
      </c>
      <c r="C14" s="179">
        <f>'2A-Buget_cerere'!I13</f>
        <v>0</v>
      </c>
      <c r="D14" s="40" t="str">
        <f t="shared" si="0"/>
        <v/>
      </c>
      <c r="E14" s="32">
        <v>0</v>
      </c>
      <c r="F14" s="196"/>
      <c r="G14" s="196"/>
      <c r="H14" s="196"/>
      <c r="I14" s="196"/>
      <c r="J14" s="196"/>
      <c r="K14" s="196"/>
    </row>
    <row r="15" spans="1:14" s="197" customFormat="1" ht="27.6" customHeight="1" x14ac:dyDescent="0.3">
      <c r="A15" s="168" t="str">
        <f>'2A-Buget_cerere'!A14</f>
        <v>2.1</v>
      </c>
      <c r="B15" s="169" t="str">
        <f>'2A-Buget_cerere'!B14</f>
        <v>Cheltuieli pentru realizare de depozite de echipamente medicale, medicamente, materiale sanitare, destinate interventiei pentru situatii de urgenta</v>
      </c>
      <c r="C15" s="179">
        <f>'2A-Buget_cerere'!I14</f>
        <v>0</v>
      </c>
      <c r="D15" s="40" t="str">
        <f t="shared" si="0"/>
        <v/>
      </c>
      <c r="E15" s="32"/>
      <c r="F15" s="196"/>
      <c r="G15" s="196"/>
      <c r="H15" s="196"/>
      <c r="I15" s="196"/>
      <c r="J15" s="196"/>
      <c r="K15" s="196"/>
    </row>
    <row r="16" spans="1:14" s="197" customFormat="1" ht="27.6" customHeight="1" x14ac:dyDescent="0.3">
      <c r="A16" s="116" t="s">
        <v>274</v>
      </c>
      <c r="B16" s="81" t="s">
        <v>275</v>
      </c>
      <c r="C16" s="179">
        <f>'2A-Buget_cerere'!I15</f>
        <v>0</v>
      </c>
      <c r="D16" s="40" t="str">
        <f t="shared" si="0"/>
        <v/>
      </c>
      <c r="E16" s="32"/>
      <c r="F16" s="196"/>
      <c r="G16" s="196"/>
      <c r="H16" s="196"/>
      <c r="I16" s="196"/>
      <c r="J16" s="196"/>
      <c r="K16" s="196"/>
    </row>
    <row r="17" spans="1:14" s="197" customFormat="1" ht="27.6" customHeight="1" x14ac:dyDescent="0.3">
      <c r="A17" s="116" t="s">
        <v>276</v>
      </c>
      <c r="B17" s="81" t="s">
        <v>277</v>
      </c>
      <c r="C17" s="179">
        <f>'2A-Buget_cerere'!I16</f>
        <v>0</v>
      </c>
      <c r="D17" s="40" t="str">
        <f t="shared" si="0"/>
        <v/>
      </c>
      <c r="E17" s="32">
        <v>0</v>
      </c>
      <c r="F17" s="196"/>
      <c r="G17" s="196"/>
      <c r="H17" s="196"/>
      <c r="I17" s="196"/>
      <c r="J17" s="196"/>
      <c r="K17" s="196"/>
    </row>
    <row r="18" spans="1:14" s="197" customFormat="1" ht="41.4" customHeight="1" x14ac:dyDescent="0.3">
      <c r="A18" s="168" t="str">
        <f>'2A-Buget_cerere'!A17</f>
        <v>3.3</v>
      </c>
      <c r="B18" s="169" t="str">
        <f>'2A-Buget_cerere'!B17</f>
        <v>Cheltuieli privind dotarea mijloacelor de transport existente cu echipamente si tehnologii care conduc la imbunatatirea confortului/calitatii serviciilor de transport persoane si marfuri prestate</v>
      </c>
      <c r="C18" s="179">
        <f>'2A-Buget_cerere'!I17</f>
        <v>0</v>
      </c>
      <c r="D18" s="40" t="str">
        <f t="shared" si="0"/>
        <v/>
      </c>
      <c r="E18" s="32">
        <v>0</v>
      </c>
      <c r="F18" s="196"/>
      <c r="G18" s="196"/>
      <c r="H18" s="196"/>
      <c r="I18" s="196"/>
      <c r="J18" s="196"/>
      <c r="K18" s="196"/>
    </row>
    <row r="19" spans="1:14" s="173" customFormat="1" ht="14.4" customHeight="1" x14ac:dyDescent="0.3">
      <c r="A19" s="171"/>
      <c r="B19" s="172" t="str">
        <f>'2A-Buget_cerere'!B18</f>
        <v>TOTAL GENERAL</v>
      </c>
      <c r="C19" s="179">
        <f>'2A-Buget_cerere'!I18</f>
        <v>566655.67999999993</v>
      </c>
      <c r="D19" s="40" t="str">
        <f t="shared" si="0"/>
        <v/>
      </c>
      <c r="E19" s="170">
        <f>SUM(E6:E18)</f>
        <v>566655.68000000005</v>
      </c>
      <c r="F19" s="201"/>
      <c r="G19" s="196"/>
      <c r="H19" s="201"/>
      <c r="I19" s="201"/>
      <c r="J19" s="201"/>
      <c r="K19" s="201"/>
    </row>
    <row r="20" spans="1:14" s="175" customFormat="1" x14ac:dyDescent="0.3">
      <c r="A20" s="277"/>
      <c r="B20" s="174"/>
      <c r="C20" s="188"/>
      <c r="D20" s="189"/>
      <c r="E20" s="190"/>
      <c r="F20" s="190"/>
      <c r="G20" s="190"/>
      <c r="H20" s="196"/>
      <c r="I20" s="196"/>
      <c r="J20" s="196"/>
      <c r="K20" s="196"/>
      <c r="L20" s="196"/>
      <c r="M20" s="196"/>
      <c r="N20" s="196"/>
    </row>
    <row r="21" spans="1:14" s="175" customFormat="1" x14ac:dyDescent="0.3">
      <c r="A21" s="277"/>
      <c r="B21" s="176"/>
      <c r="C21" s="188"/>
      <c r="D21" s="189"/>
      <c r="E21" s="190"/>
      <c r="F21" s="190"/>
      <c r="G21" s="190"/>
      <c r="H21" s="196"/>
      <c r="I21" s="196"/>
      <c r="J21" s="196"/>
      <c r="K21" s="196"/>
      <c r="L21" s="196"/>
      <c r="M21" s="196"/>
      <c r="N21" s="196"/>
    </row>
    <row r="22" spans="1:14" s="212" customFormat="1" x14ac:dyDescent="0.3">
      <c r="A22" s="353" t="s">
        <v>278</v>
      </c>
      <c r="B22" s="327"/>
      <c r="C22" s="351" t="s">
        <v>270</v>
      </c>
      <c r="D22" s="352" t="s">
        <v>271</v>
      </c>
      <c r="E22" s="249" t="s">
        <v>272</v>
      </c>
      <c r="F22" s="231"/>
      <c r="G22" s="196"/>
      <c r="H22" s="231"/>
      <c r="I22" s="231"/>
      <c r="J22" s="231"/>
      <c r="K22" s="231"/>
    </row>
    <row r="23" spans="1:14" s="178" customFormat="1" x14ac:dyDescent="0.3">
      <c r="A23" s="354"/>
      <c r="B23" s="355"/>
      <c r="C23" s="350"/>
      <c r="D23" s="350"/>
      <c r="E23" s="177" t="s">
        <v>273</v>
      </c>
      <c r="F23" s="167"/>
      <c r="G23" s="196"/>
      <c r="H23" s="167"/>
      <c r="I23" s="167"/>
      <c r="J23" s="167"/>
      <c r="K23" s="167"/>
    </row>
    <row r="24" spans="1:14" s="181" customFormat="1" x14ac:dyDescent="0.3">
      <c r="A24" s="356" t="s">
        <v>279</v>
      </c>
      <c r="B24" s="335"/>
      <c r="C24" s="179">
        <f>'2A-Buget_cerere'!C23</f>
        <v>566655.67999999993</v>
      </c>
      <c r="D24" s="40" t="str">
        <f>IF(E24&lt;&gt;C24,"Eroare!","")</f>
        <v/>
      </c>
      <c r="E24" s="37">
        <f>E19</f>
        <v>566655.68000000005</v>
      </c>
      <c r="F24" s="180"/>
      <c r="G24" s="196"/>
      <c r="H24" s="180"/>
      <c r="I24" s="180"/>
      <c r="J24" s="180"/>
      <c r="K24" s="180"/>
    </row>
    <row r="25" spans="1:14" s="181" customFormat="1" x14ac:dyDescent="0.3">
      <c r="A25" s="358" t="s">
        <v>280</v>
      </c>
      <c r="B25" s="335"/>
      <c r="C25" s="236">
        <f>'2A-Buget_cerere'!G18</f>
        <v>90474.44</v>
      </c>
      <c r="D25" s="40" t="str">
        <f>IF(E25&lt;&gt;C25,"Eroare!","")</f>
        <v/>
      </c>
      <c r="E25" s="244">
        <v>90474.44</v>
      </c>
      <c r="F25" s="180"/>
      <c r="G25" s="196"/>
      <c r="H25" s="180"/>
      <c r="I25" s="180"/>
      <c r="J25" s="180"/>
      <c r="K25" s="180"/>
    </row>
    <row r="26" spans="1:14" s="181" customFormat="1" x14ac:dyDescent="0.3">
      <c r="A26" s="356" t="s">
        <v>281</v>
      </c>
      <c r="B26" s="335"/>
      <c r="C26" s="179">
        <f>'2A-Buget_cerere'!C26</f>
        <v>304756</v>
      </c>
      <c r="D26" s="40" t="str">
        <f>IF(E26&lt;&gt;C26,"Eroare!","")</f>
        <v/>
      </c>
      <c r="E26" s="37">
        <v>304756</v>
      </c>
      <c r="F26" s="180"/>
      <c r="G26" s="196"/>
      <c r="H26" s="180"/>
      <c r="I26" s="180"/>
      <c r="J26" s="180"/>
      <c r="K26" s="180"/>
    </row>
    <row r="27" spans="1:14" s="178" customFormat="1" x14ac:dyDescent="0.3">
      <c r="A27" s="357" t="s">
        <v>282</v>
      </c>
      <c r="B27" s="335"/>
      <c r="C27" s="179"/>
      <c r="D27" s="40"/>
      <c r="E27" s="32"/>
      <c r="F27" s="167"/>
      <c r="G27" s="196"/>
      <c r="H27" s="167"/>
      <c r="I27" s="167"/>
      <c r="J27" s="167"/>
      <c r="K27" s="167"/>
    </row>
    <row r="28" spans="1:14" s="178" customFormat="1" x14ac:dyDescent="0.3">
      <c r="A28" s="357" t="s">
        <v>283</v>
      </c>
      <c r="B28" s="335"/>
      <c r="C28" s="179"/>
      <c r="D28" s="40"/>
      <c r="E28" s="32">
        <v>0</v>
      </c>
      <c r="F28" s="167"/>
      <c r="G28" s="196"/>
      <c r="H28" s="167"/>
      <c r="I28" s="167"/>
      <c r="J28" s="167"/>
      <c r="K28" s="167"/>
    </row>
    <row r="29" spans="1:14" s="181" customFormat="1" x14ac:dyDescent="0.3">
      <c r="A29" s="356" t="str">
        <f>'2A-Buget_cerere'!B29</f>
        <v>ASISTENŢĂ FINANCIARĂ NERAMBURSABILĂ SOLICITATĂ</v>
      </c>
      <c r="B29" s="335"/>
      <c r="C29" s="179">
        <f>'2A-Buget_cerere'!C29</f>
        <v>261899.67999999993</v>
      </c>
      <c r="D29" s="40" t="str">
        <f>IF(E29&lt;&gt;C29,"Eroare!","")</f>
        <v/>
      </c>
      <c r="E29" s="32">
        <v>261899.68</v>
      </c>
      <c r="F29" s="180"/>
      <c r="G29" s="196"/>
      <c r="H29" s="180"/>
      <c r="I29" s="180"/>
      <c r="J29" s="180"/>
      <c r="K29" s="180"/>
    </row>
    <row r="30" spans="1:14" s="186" customFormat="1" ht="14.4" customHeight="1" x14ac:dyDescent="0.3">
      <c r="A30" s="182"/>
      <c r="B30" s="183"/>
      <c r="C30" s="188"/>
      <c r="D30" s="189"/>
      <c r="E30" s="190"/>
      <c r="F30" s="190"/>
      <c r="G30" s="190"/>
      <c r="H30" s="180"/>
      <c r="I30" s="196"/>
      <c r="J30" s="180"/>
      <c r="K30" s="180"/>
      <c r="L30" s="180"/>
      <c r="M30" s="180"/>
      <c r="N30" s="180"/>
    </row>
    <row r="31" spans="1:14" s="186" customFormat="1" ht="14.4" customHeight="1" x14ac:dyDescent="0.3">
      <c r="A31" s="182"/>
      <c r="B31" s="184"/>
      <c r="C31" s="188"/>
      <c r="D31" s="189"/>
      <c r="E31" s="190"/>
      <c r="F31" s="190"/>
      <c r="G31" s="190"/>
      <c r="H31" s="180"/>
      <c r="I31" s="180"/>
      <c r="J31" s="180"/>
      <c r="K31" s="180"/>
      <c r="L31" s="180"/>
      <c r="M31" s="180"/>
      <c r="N31" s="180"/>
    </row>
    <row r="32" spans="1:14" s="288" customFormat="1" ht="14.4" customHeight="1" x14ac:dyDescent="0.3">
      <c r="A32" s="341" t="s">
        <v>284</v>
      </c>
      <c r="B32" s="339"/>
      <c r="C32" s="339"/>
      <c r="D32" s="189"/>
      <c r="E32" s="190"/>
      <c r="F32" s="190"/>
      <c r="G32" s="190"/>
      <c r="H32" s="167"/>
      <c r="I32" s="167"/>
      <c r="J32" s="167"/>
      <c r="K32" s="167"/>
      <c r="L32" s="167"/>
      <c r="M32" s="167"/>
      <c r="N32" s="167"/>
    </row>
    <row r="33" spans="1:14" s="288" customFormat="1" ht="15" customHeight="1" x14ac:dyDescent="0.3">
      <c r="A33" s="343" t="s">
        <v>285</v>
      </c>
      <c r="B33" s="335"/>
      <c r="C33" s="185" t="s">
        <v>286</v>
      </c>
      <c r="D33" s="177" t="s">
        <v>273</v>
      </c>
      <c r="E33" s="177" t="s">
        <v>287</v>
      </c>
      <c r="F33" s="177" t="s">
        <v>288</v>
      </c>
      <c r="G33" s="177" t="s">
        <v>289</v>
      </c>
      <c r="N33" s="167"/>
    </row>
    <row r="34" spans="1:14" s="288" customFormat="1" ht="15" customHeight="1" x14ac:dyDescent="0.3">
      <c r="A34" s="340" t="s">
        <v>290</v>
      </c>
      <c r="B34" s="335"/>
      <c r="C34" s="40">
        <f>SUM(D34:G34)</f>
        <v>0</v>
      </c>
      <c r="D34" s="37">
        <f>E28</f>
        <v>0</v>
      </c>
      <c r="E34" s="37"/>
      <c r="F34" s="37"/>
      <c r="G34" s="37"/>
      <c r="N34" s="167"/>
    </row>
    <row r="35" spans="1:14" s="288" customFormat="1" ht="15" customHeight="1" x14ac:dyDescent="0.3">
      <c r="A35" s="340" t="s">
        <v>291</v>
      </c>
      <c r="B35" s="335"/>
      <c r="C35" s="40">
        <f>SUM(D35:G35)</f>
        <v>0</v>
      </c>
      <c r="D35" s="32">
        <v>0</v>
      </c>
      <c r="E35" s="32">
        <v>0</v>
      </c>
      <c r="F35" s="32">
        <v>0</v>
      </c>
      <c r="G35" s="32">
        <v>0</v>
      </c>
      <c r="N35" s="167"/>
    </row>
    <row r="36" spans="1:14" s="288" customFormat="1" ht="15" customHeight="1" x14ac:dyDescent="0.3">
      <c r="A36" s="340" t="s">
        <v>292</v>
      </c>
      <c r="B36" s="335"/>
      <c r="C36" s="40">
        <f>SUM(D36:G36)</f>
        <v>0</v>
      </c>
      <c r="D36" s="32">
        <v>0</v>
      </c>
      <c r="E36" s="32">
        <v>0</v>
      </c>
      <c r="F36" s="32">
        <v>0</v>
      </c>
      <c r="G36" s="32">
        <v>0</v>
      </c>
      <c r="N36" s="167"/>
    </row>
    <row r="37" spans="1:14" s="186" customFormat="1" ht="15" customHeight="1" x14ac:dyDescent="0.3">
      <c r="A37" s="342" t="s">
        <v>293</v>
      </c>
      <c r="B37" s="335"/>
      <c r="C37" s="40">
        <f>SUM(D37:G37)</f>
        <v>0</v>
      </c>
      <c r="D37" s="37">
        <f>D36+D35</f>
        <v>0</v>
      </c>
      <c r="E37" s="37">
        <f>E36+E35</f>
        <v>0</v>
      </c>
      <c r="F37" s="37">
        <f>F36+F35</f>
        <v>0</v>
      </c>
      <c r="G37" s="37">
        <f>G36+G35</f>
        <v>0</v>
      </c>
      <c r="N37" s="180"/>
    </row>
    <row r="38" spans="1:14" s="288" customFormat="1" ht="14.4" customHeight="1" x14ac:dyDescent="0.3">
      <c r="A38" s="277"/>
      <c r="B38" s="284"/>
      <c r="C38" s="188"/>
      <c r="D38" s="189"/>
      <c r="G38" s="217"/>
      <c r="H38" s="167"/>
      <c r="I38" s="167"/>
      <c r="J38" s="167"/>
      <c r="K38" s="167"/>
      <c r="L38" s="167"/>
      <c r="M38" s="167"/>
      <c r="N38" s="167"/>
    </row>
    <row r="39" spans="1:14" s="288" customFormat="1" ht="14.4" customHeight="1" x14ac:dyDescent="0.3">
      <c r="A39" s="277"/>
      <c r="B39" s="284"/>
      <c r="C39" s="188"/>
      <c r="D39" s="189"/>
      <c r="E39" s="190"/>
      <c r="F39" s="190"/>
      <c r="G39" s="190"/>
      <c r="H39" s="167"/>
      <c r="I39" s="167"/>
      <c r="J39" s="167"/>
      <c r="K39" s="167"/>
      <c r="L39" s="167"/>
      <c r="M39" s="167"/>
      <c r="N39" s="167"/>
    </row>
    <row r="40" spans="1:14" s="288" customFormat="1" ht="14.4" customHeight="1" x14ac:dyDescent="0.3">
      <c r="A40" s="338" t="s">
        <v>294</v>
      </c>
      <c r="B40" s="339"/>
      <c r="C40" s="322"/>
      <c r="D40" s="177" t="s">
        <v>273</v>
      </c>
      <c r="E40" s="247" t="s">
        <v>287</v>
      </c>
      <c r="F40" s="177" t="s">
        <v>288</v>
      </c>
      <c r="G40" s="177" t="s">
        <v>289</v>
      </c>
      <c r="H40" s="167"/>
      <c r="I40" s="167"/>
      <c r="J40" s="167"/>
      <c r="K40" s="167"/>
      <c r="L40" s="167"/>
      <c r="M40" s="167"/>
      <c r="N40" s="167"/>
    </row>
    <row r="41" spans="1:14" s="288" customFormat="1" ht="14.4" customHeight="1" x14ac:dyDescent="0.3">
      <c r="A41" s="340" t="s">
        <v>156</v>
      </c>
      <c r="B41" s="324"/>
      <c r="C41" s="335"/>
      <c r="D41" s="32">
        <v>0</v>
      </c>
      <c r="E41" s="32">
        <v>0</v>
      </c>
      <c r="F41" s="32">
        <v>0</v>
      </c>
      <c r="G41" s="32">
        <v>0</v>
      </c>
      <c r="H41" s="167"/>
      <c r="I41" s="167"/>
      <c r="J41" s="167"/>
      <c r="K41" s="167"/>
      <c r="L41" s="167"/>
      <c r="M41" s="167"/>
      <c r="N41" s="167"/>
    </row>
    <row r="42" spans="1:14" s="288" customFormat="1" ht="14.4" customHeight="1" x14ac:dyDescent="0.3">
      <c r="A42" s="340" t="s">
        <v>295</v>
      </c>
      <c r="B42" s="324"/>
      <c r="C42" s="335"/>
      <c r="D42" s="37">
        <f>D34-D35</f>
        <v>0</v>
      </c>
      <c r="E42" s="164">
        <f>D42+E34-E35</f>
        <v>0</v>
      </c>
      <c r="F42" s="37">
        <f>E42+F34-F35</f>
        <v>0</v>
      </c>
      <c r="G42" s="37">
        <f>F42+G34-G35</f>
        <v>0</v>
      </c>
      <c r="H42" s="277"/>
      <c r="I42" s="167"/>
      <c r="J42" s="167"/>
      <c r="K42" s="167"/>
      <c r="L42" s="167"/>
      <c r="M42" s="167"/>
      <c r="N42" s="167"/>
    </row>
    <row r="43" spans="1:14" s="288" customFormat="1" ht="14.4" customHeight="1" x14ac:dyDescent="0.3">
      <c r="A43" s="340" t="s">
        <v>296</v>
      </c>
      <c r="B43" s="324"/>
      <c r="C43" s="335"/>
      <c r="D43" s="32">
        <v>0</v>
      </c>
      <c r="E43" s="32">
        <v>0</v>
      </c>
      <c r="F43" s="32">
        <v>0</v>
      </c>
      <c r="G43" s="32">
        <v>0</v>
      </c>
      <c r="H43" s="167"/>
      <c r="I43" s="167"/>
      <c r="J43" s="167"/>
      <c r="K43" s="167"/>
      <c r="L43" s="167"/>
      <c r="M43" s="167"/>
      <c r="N43" s="167"/>
    </row>
    <row r="44" spans="1:14" s="288" customFormat="1" ht="14.4" customHeight="1" x14ac:dyDescent="0.3">
      <c r="A44" s="340" t="s">
        <v>297</v>
      </c>
      <c r="B44" s="324"/>
      <c r="C44" s="335"/>
      <c r="D44" s="32">
        <v>0</v>
      </c>
      <c r="E44" s="32">
        <v>0</v>
      </c>
      <c r="F44" s="32">
        <v>0</v>
      </c>
      <c r="G44" s="32">
        <v>0</v>
      </c>
      <c r="H44" s="167"/>
      <c r="I44" s="167"/>
      <c r="J44" s="167"/>
      <c r="K44" s="167"/>
      <c r="L44" s="167"/>
      <c r="M44" s="167"/>
      <c r="N44" s="167"/>
    </row>
    <row r="45" spans="1:14" s="288" customFormat="1" ht="14.4" customHeight="1" x14ac:dyDescent="0.3">
      <c r="A45" s="340" t="s">
        <v>298</v>
      </c>
      <c r="B45" s="324"/>
      <c r="C45" s="335"/>
      <c r="D45" s="170" t="str">
        <f>IFERROR(SUM(D42:D44)/(SUM(D42:D44)+D41),"")</f>
        <v/>
      </c>
      <c r="E45" s="163" t="str">
        <f>IFERROR(SUM(E42:E44)/(SUM(E42:E44)+E41),"")</f>
        <v/>
      </c>
      <c r="F45" s="170" t="str">
        <f>IFERROR(SUM(F42:F44)/(SUM(F42:F44)+F41),"")</f>
        <v/>
      </c>
      <c r="G45" s="170" t="str">
        <f>IFERROR(SUM(G42:G44)/(SUM(G42:G44)+G41),"")</f>
        <v/>
      </c>
      <c r="H45" s="167"/>
      <c r="I45" s="167"/>
      <c r="J45" s="167"/>
      <c r="K45" s="167"/>
      <c r="L45" s="167"/>
      <c r="M45" s="167"/>
      <c r="N45" s="167"/>
    </row>
    <row r="46" spans="1:14" s="288" customFormat="1" ht="14.4" customHeight="1" x14ac:dyDescent="0.3">
      <c r="A46" s="277"/>
      <c r="B46" s="284"/>
      <c r="C46" s="188"/>
      <c r="D46" s="189"/>
      <c r="E46" s="190"/>
      <c r="F46" s="190"/>
      <c r="G46" s="190"/>
      <c r="H46" s="167"/>
      <c r="I46" s="167"/>
      <c r="J46" s="167"/>
      <c r="K46" s="167"/>
      <c r="L46" s="167"/>
      <c r="M46" s="167"/>
      <c r="N46" s="167"/>
    </row>
    <row r="47" spans="1:14" s="288" customFormat="1" ht="14.4" customHeight="1" x14ac:dyDescent="0.3">
      <c r="A47" s="277"/>
      <c r="B47" s="284"/>
      <c r="C47" s="188"/>
      <c r="D47" s="189"/>
      <c r="E47" s="190"/>
      <c r="F47" s="190"/>
      <c r="G47" s="190"/>
      <c r="H47" s="167"/>
      <c r="I47" s="167"/>
      <c r="J47" s="167"/>
      <c r="K47" s="167"/>
      <c r="L47" s="167"/>
      <c r="M47" s="167"/>
      <c r="N47" s="167"/>
    </row>
    <row r="48" spans="1:14" s="288" customFormat="1" ht="14.4" customHeight="1" x14ac:dyDescent="0.3">
      <c r="A48" s="277"/>
      <c r="B48" s="284"/>
      <c r="C48" s="188"/>
      <c r="D48" s="189"/>
      <c r="E48" s="190"/>
      <c r="F48" s="190"/>
      <c r="G48" s="190"/>
      <c r="H48" s="167"/>
      <c r="I48" s="167"/>
      <c r="J48" s="167"/>
      <c r="K48" s="167"/>
      <c r="L48" s="167"/>
      <c r="M48" s="167"/>
      <c r="N48" s="167"/>
    </row>
    <row r="49" spans="1:14" s="288" customFormat="1" ht="14.4" customHeight="1" x14ac:dyDescent="0.3">
      <c r="A49" s="277"/>
      <c r="B49" s="284"/>
      <c r="C49" s="188"/>
      <c r="D49" s="189"/>
      <c r="E49" s="190"/>
      <c r="F49" s="190"/>
      <c r="G49" s="190"/>
      <c r="H49" s="167"/>
      <c r="I49" s="167"/>
      <c r="J49" s="167"/>
      <c r="K49" s="167"/>
      <c r="L49" s="167"/>
      <c r="M49" s="167"/>
      <c r="N49" s="167"/>
    </row>
    <row r="50" spans="1:14" s="288" customFormat="1" ht="14.4" customHeight="1" x14ac:dyDescent="0.3">
      <c r="A50" s="277"/>
      <c r="B50" s="284"/>
      <c r="C50" s="188"/>
      <c r="D50" s="189"/>
      <c r="E50" s="190"/>
      <c r="F50" s="190"/>
      <c r="G50" s="190"/>
      <c r="H50" s="167"/>
      <c r="I50" s="167"/>
      <c r="J50" s="167"/>
      <c r="K50" s="167"/>
      <c r="L50" s="167"/>
      <c r="M50" s="167"/>
      <c r="N50" s="167"/>
    </row>
    <row r="51" spans="1:14" s="288" customFormat="1" ht="14.4" customHeight="1" x14ac:dyDescent="0.3">
      <c r="A51" s="277"/>
      <c r="B51" s="284"/>
      <c r="C51" s="188"/>
      <c r="D51" s="189"/>
      <c r="E51" s="190"/>
      <c r="F51" s="190"/>
      <c r="G51" s="190"/>
      <c r="H51" s="167"/>
      <c r="I51" s="167"/>
      <c r="J51" s="167"/>
      <c r="K51" s="167"/>
      <c r="L51" s="167"/>
      <c r="M51" s="167"/>
      <c r="N51" s="167"/>
    </row>
    <row r="52" spans="1:14" s="288" customFormat="1" ht="14.4" customHeight="1" x14ac:dyDescent="0.3">
      <c r="A52" s="277"/>
      <c r="B52" s="284"/>
      <c r="C52" s="188"/>
      <c r="D52" s="189"/>
      <c r="E52" s="190"/>
      <c r="F52" s="190"/>
      <c r="G52" s="190"/>
      <c r="H52" s="167"/>
      <c r="I52" s="167"/>
      <c r="J52" s="167"/>
      <c r="K52" s="167"/>
      <c r="L52" s="167"/>
      <c r="M52" s="167"/>
      <c r="N52" s="167"/>
    </row>
    <row r="53" spans="1:14" s="288" customFormat="1" ht="14.4" customHeight="1" x14ac:dyDescent="0.3">
      <c r="A53" s="277"/>
      <c r="B53" s="284"/>
      <c r="C53" s="188"/>
      <c r="D53" s="189"/>
      <c r="E53" s="190"/>
      <c r="F53" s="190"/>
      <c r="G53" s="190"/>
      <c r="H53" s="167"/>
      <c r="I53" s="167"/>
      <c r="J53" s="167"/>
      <c r="K53" s="167"/>
      <c r="L53" s="167"/>
      <c r="M53" s="167"/>
      <c r="N53" s="167"/>
    </row>
    <row r="54" spans="1:14" s="288" customFormat="1" ht="14.4" customHeight="1" x14ac:dyDescent="0.3">
      <c r="A54" s="277"/>
      <c r="B54" s="284"/>
      <c r="C54" s="188"/>
      <c r="D54" s="189"/>
      <c r="E54" s="190"/>
      <c r="F54" s="190"/>
      <c r="G54" s="190"/>
      <c r="H54" s="167"/>
      <c r="I54" s="167"/>
      <c r="J54" s="167"/>
      <c r="K54" s="167"/>
      <c r="L54" s="167"/>
      <c r="M54" s="167"/>
      <c r="N54" s="167"/>
    </row>
    <row r="55" spans="1:14" s="288" customFormat="1" ht="14.4" customHeight="1" x14ac:dyDescent="0.3">
      <c r="A55" s="277"/>
      <c r="B55" s="284"/>
      <c r="C55" s="188"/>
      <c r="D55" s="189"/>
      <c r="E55" s="190"/>
      <c r="F55" s="190"/>
      <c r="G55" s="190"/>
      <c r="H55" s="167"/>
      <c r="I55" s="167"/>
      <c r="J55" s="167"/>
      <c r="K55" s="167"/>
      <c r="L55" s="167"/>
      <c r="M55" s="167"/>
      <c r="N55" s="167"/>
    </row>
    <row r="56" spans="1:14" s="288" customFormat="1" ht="14.4" customHeight="1" x14ac:dyDescent="0.3">
      <c r="A56" s="277"/>
      <c r="B56" s="284"/>
      <c r="C56" s="188"/>
      <c r="D56" s="189"/>
      <c r="E56" s="190"/>
      <c r="F56" s="190"/>
      <c r="G56" s="190"/>
      <c r="H56" s="167"/>
      <c r="I56" s="167"/>
      <c r="J56" s="167"/>
      <c r="K56" s="167"/>
      <c r="L56" s="167"/>
      <c r="M56" s="167"/>
      <c r="N56" s="167"/>
    </row>
    <row r="57" spans="1:14" s="288" customFormat="1" ht="14.4" customHeight="1" x14ac:dyDescent="0.3">
      <c r="A57" s="277"/>
      <c r="B57" s="284"/>
      <c r="C57" s="188"/>
      <c r="D57" s="189"/>
      <c r="E57" s="190"/>
      <c r="F57" s="190"/>
      <c r="G57" s="190"/>
      <c r="H57" s="167"/>
      <c r="I57" s="167"/>
      <c r="J57" s="167"/>
      <c r="K57" s="167"/>
      <c r="L57" s="167"/>
      <c r="M57" s="167"/>
      <c r="N57" s="167"/>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dxfId="7" priority="16" operator="containsText" text="nu">
      <formula>NOT(ISERROR(SEARCH("nu",C31)))</formula>
    </cfRule>
    <cfRule type="containsText" dxfId="6" priority="10" operator="containsText" text="NU">
      <formula>NOT(ISERROR(SEARCH("NU",C31)))</formula>
    </cfRule>
    <cfRule type="containsText" dxfId="5" priority="11" operator="containsText" text="DA">
      <formula>NOT(ISERROR(SEARCH("DA",C31)))</formula>
    </cfRule>
  </conditionalFormatting>
  <conditionalFormatting sqref="D45:G45">
    <cfRule type="cellIs" dxfId="4" priority="4" operator="greaterThanOrEqual">
      <formula>0.67</formula>
    </cfRule>
    <cfRule type="cellIs" dxfId="3" priority="6" operator="lessThan">
      <formula>0.67</formula>
    </cfRule>
  </conditionalFormatting>
  <pageMargins left="0.70866141732283472" right="0.70866141732283472" top="0.55118110236220474" bottom="0.90625" header="0.31496062992125978" footer="0.31496062992125978"/>
  <pageSetup paperSize="9" fitToHeight="0" orientation="landscape" blackAndWhite="1" horizontalDpi="300" verticalDpi="300"/>
  <rowBreaks count="1" manualBreakCount="1">
    <brk id="31"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31"/>
  <sheetViews>
    <sheetView topLeftCell="A15" workbookViewId="0">
      <selection activeCell="C28" sqref="C28"/>
    </sheetView>
  </sheetViews>
  <sheetFormatPr defaultColWidth="9.109375" defaultRowHeight="14.4" x14ac:dyDescent="0.3"/>
  <cols>
    <col min="1" max="1" width="6.6640625" style="115" customWidth="1"/>
    <col min="2" max="2" width="56.109375" style="291" customWidth="1"/>
    <col min="3" max="3" width="12.6640625" style="290" customWidth="1"/>
    <col min="4" max="4" width="12.88671875" style="290" customWidth="1"/>
    <col min="5" max="5" width="12.5546875" style="289" customWidth="1"/>
    <col min="6" max="7" width="12.6640625" style="290" customWidth="1"/>
    <col min="8" max="9" width="12.6640625" style="289" customWidth="1"/>
    <col min="10" max="11" width="9.109375" style="98" customWidth="1"/>
    <col min="12" max="16384" width="9.109375" style="98"/>
  </cols>
  <sheetData>
    <row r="1" spans="1:9" x14ac:dyDescent="0.3">
      <c r="A1" s="362" t="s">
        <v>299</v>
      </c>
      <c r="B1" s="363"/>
      <c r="C1" s="361"/>
      <c r="D1" s="361"/>
      <c r="E1" s="360"/>
      <c r="F1" s="361"/>
      <c r="G1" s="361"/>
      <c r="H1" s="360"/>
      <c r="I1" s="360"/>
    </row>
    <row r="2" spans="1:9" x14ac:dyDescent="0.3">
      <c r="A2" s="111"/>
      <c r="B2" s="108"/>
      <c r="C2" s="123"/>
      <c r="D2" s="123"/>
      <c r="E2" s="123"/>
      <c r="F2" s="123"/>
      <c r="G2" s="123"/>
      <c r="H2" s="123"/>
      <c r="I2" s="123"/>
    </row>
    <row r="3" spans="1:9" x14ac:dyDescent="0.3">
      <c r="A3" s="366" t="s">
        <v>300</v>
      </c>
      <c r="B3" s="365" t="s">
        <v>301</v>
      </c>
      <c r="C3" s="364" t="s">
        <v>302</v>
      </c>
      <c r="D3" s="335"/>
      <c r="E3" s="364" t="s">
        <v>303</v>
      </c>
      <c r="F3" s="364" t="s">
        <v>304</v>
      </c>
      <c r="G3" s="335"/>
      <c r="H3" s="364" t="s">
        <v>305</v>
      </c>
      <c r="I3" s="364" t="s">
        <v>306</v>
      </c>
    </row>
    <row r="4" spans="1:9" ht="69" customHeight="1" x14ac:dyDescent="0.3">
      <c r="A4" s="350"/>
      <c r="B4" s="350"/>
      <c r="C4" s="292" t="s">
        <v>307</v>
      </c>
      <c r="D4" s="292" t="s">
        <v>308</v>
      </c>
      <c r="E4" s="350"/>
      <c r="F4" s="292" t="s">
        <v>309</v>
      </c>
      <c r="G4" s="292" t="s">
        <v>310</v>
      </c>
      <c r="H4" s="350"/>
      <c r="I4" s="350"/>
    </row>
    <row r="5" spans="1:9" x14ac:dyDescent="0.3">
      <c r="A5" s="112" t="s">
        <v>311</v>
      </c>
      <c r="B5" s="106" t="s">
        <v>312</v>
      </c>
      <c r="C5" s="124">
        <v>0</v>
      </c>
      <c r="D5" s="124">
        <v>0</v>
      </c>
      <c r="E5" s="125">
        <f t="shared" ref="E5:E17" si="0">C5+D5</f>
        <v>0</v>
      </c>
      <c r="F5" s="124">
        <v>0</v>
      </c>
      <c r="G5" s="124">
        <v>0</v>
      </c>
      <c r="H5" s="125">
        <f t="shared" ref="H5:H17" si="1">F5+G5</f>
        <v>0</v>
      </c>
      <c r="I5" s="125">
        <f t="shared" ref="I5:I17" si="2">E5+H5</f>
        <v>0</v>
      </c>
    </row>
    <row r="6" spans="1:9" ht="27.6" customHeight="1" x14ac:dyDescent="0.3">
      <c r="A6" s="112" t="s">
        <v>313</v>
      </c>
      <c r="B6" s="106" t="s">
        <v>314</v>
      </c>
      <c r="C6" s="124">
        <v>476181.24</v>
      </c>
      <c r="D6" s="124">
        <v>0</v>
      </c>
      <c r="E6" s="125">
        <f t="shared" si="0"/>
        <v>476181.24</v>
      </c>
      <c r="F6" s="124">
        <v>0</v>
      </c>
      <c r="G6" s="124">
        <v>90474.44</v>
      </c>
      <c r="H6" s="125">
        <f t="shared" si="1"/>
        <v>90474.44</v>
      </c>
      <c r="I6" s="125">
        <f t="shared" si="2"/>
        <v>566655.67999999993</v>
      </c>
    </row>
    <row r="7" spans="1:9" x14ac:dyDescent="0.3">
      <c r="A7" s="112" t="s">
        <v>315</v>
      </c>
      <c r="B7" s="107" t="s">
        <v>316</v>
      </c>
      <c r="C7" s="124">
        <v>0</v>
      </c>
      <c r="D7" s="124">
        <v>0</v>
      </c>
      <c r="E7" s="125">
        <f t="shared" si="0"/>
        <v>0</v>
      </c>
      <c r="F7" s="124">
        <v>0</v>
      </c>
      <c r="G7" s="124">
        <v>0</v>
      </c>
      <c r="H7" s="125">
        <f t="shared" si="1"/>
        <v>0</v>
      </c>
      <c r="I7" s="125">
        <f t="shared" si="2"/>
        <v>0</v>
      </c>
    </row>
    <row r="8" spans="1:9" x14ac:dyDescent="0.3">
      <c r="A8" s="112" t="s">
        <v>317</v>
      </c>
      <c r="B8" s="107" t="s">
        <v>318</v>
      </c>
      <c r="C8" s="124">
        <v>0</v>
      </c>
      <c r="D8" s="124">
        <v>0</v>
      </c>
      <c r="E8" s="125">
        <f t="shared" si="0"/>
        <v>0</v>
      </c>
      <c r="F8" s="124">
        <v>0</v>
      </c>
      <c r="G8" s="124">
        <v>0</v>
      </c>
      <c r="H8" s="125">
        <f t="shared" si="1"/>
        <v>0</v>
      </c>
      <c r="I8" s="125">
        <f t="shared" si="2"/>
        <v>0</v>
      </c>
    </row>
    <row r="9" spans="1:9" ht="41.4" customHeight="1" x14ac:dyDescent="0.3">
      <c r="A9" s="112" t="s">
        <v>319</v>
      </c>
      <c r="B9" s="106" t="s">
        <v>320</v>
      </c>
      <c r="C9" s="124">
        <v>0</v>
      </c>
      <c r="D9" s="124">
        <v>0</v>
      </c>
      <c r="E9" s="125">
        <f t="shared" si="0"/>
        <v>0</v>
      </c>
      <c r="F9" s="124">
        <v>0</v>
      </c>
      <c r="G9" s="124">
        <v>0</v>
      </c>
      <c r="H9" s="125">
        <f t="shared" si="1"/>
        <v>0</v>
      </c>
      <c r="I9" s="125">
        <f t="shared" si="2"/>
        <v>0</v>
      </c>
    </row>
    <row r="10" spans="1:9" ht="27.6" customHeight="1" x14ac:dyDescent="0.3">
      <c r="A10" s="112" t="s">
        <v>321</v>
      </c>
      <c r="B10" s="106" t="s">
        <v>322</v>
      </c>
      <c r="C10" s="124">
        <v>0</v>
      </c>
      <c r="D10" s="124">
        <v>0</v>
      </c>
      <c r="E10" s="125">
        <f t="shared" si="0"/>
        <v>0</v>
      </c>
      <c r="F10" s="124">
        <v>0</v>
      </c>
      <c r="G10" s="124">
        <v>0</v>
      </c>
      <c r="H10" s="125">
        <f t="shared" si="1"/>
        <v>0</v>
      </c>
      <c r="I10" s="125">
        <f t="shared" si="2"/>
        <v>0</v>
      </c>
    </row>
    <row r="11" spans="1:9" ht="27.6" customHeight="1" x14ac:dyDescent="0.3">
      <c r="A11" s="112" t="s">
        <v>323</v>
      </c>
      <c r="B11" s="106" t="s">
        <v>324</v>
      </c>
      <c r="C11" s="124">
        <v>0</v>
      </c>
      <c r="D11" s="124">
        <v>0</v>
      </c>
      <c r="E11" s="125">
        <f t="shared" si="0"/>
        <v>0</v>
      </c>
      <c r="F11" s="124">
        <v>0</v>
      </c>
      <c r="G11" s="124">
        <v>0</v>
      </c>
      <c r="H11" s="125">
        <f t="shared" si="1"/>
        <v>0</v>
      </c>
      <c r="I11" s="125">
        <f t="shared" si="2"/>
        <v>0</v>
      </c>
    </row>
    <row r="12" spans="1:9" x14ac:dyDescent="0.3">
      <c r="A12" s="112" t="s">
        <v>325</v>
      </c>
      <c r="B12" s="106" t="s">
        <v>326</v>
      </c>
      <c r="C12" s="124">
        <v>0</v>
      </c>
      <c r="D12" s="124">
        <v>0</v>
      </c>
      <c r="E12" s="125">
        <f t="shared" si="0"/>
        <v>0</v>
      </c>
      <c r="F12" s="124">
        <v>0</v>
      </c>
      <c r="G12" s="124">
        <v>0</v>
      </c>
      <c r="H12" s="125">
        <f t="shared" si="1"/>
        <v>0</v>
      </c>
      <c r="I12" s="125">
        <f t="shared" si="2"/>
        <v>0</v>
      </c>
    </row>
    <row r="13" spans="1:9" ht="27.6" customHeight="1" x14ac:dyDescent="0.3">
      <c r="A13" s="112" t="s">
        <v>327</v>
      </c>
      <c r="B13" s="106" t="s">
        <v>328</v>
      </c>
      <c r="C13" s="124">
        <v>0</v>
      </c>
      <c r="D13" s="124">
        <v>0</v>
      </c>
      <c r="E13" s="125">
        <f t="shared" si="0"/>
        <v>0</v>
      </c>
      <c r="F13" s="124">
        <v>0</v>
      </c>
      <c r="G13" s="124">
        <v>0</v>
      </c>
      <c r="H13" s="125">
        <f t="shared" si="1"/>
        <v>0</v>
      </c>
      <c r="I13" s="125">
        <f t="shared" si="2"/>
        <v>0</v>
      </c>
    </row>
    <row r="14" spans="1:9" ht="41.4" customHeight="1" x14ac:dyDescent="0.3">
      <c r="A14" s="112" t="s">
        <v>329</v>
      </c>
      <c r="B14" s="106" t="s">
        <v>330</v>
      </c>
      <c r="C14" s="124">
        <v>0</v>
      </c>
      <c r="D14" s="124">
        <f>D15+D16</f>
        <v>0</v>
      </c>
      <c r="E14" s="125">
        <f t="shared" si="0"/>
        <v>0</v>
      </c>
      <c r="F14" s="124">
        <f>F15+F16</f>
        <v>0</v>
      </c>
      <c r="G14" s="124">
        <v>0</v>
      </c>
      <c r="H14" s="125">
        <f t="shared" si="1"/>
        <v>0</v>
      </c>
      <c r="I14" s="125">
        <f t="shared" si="2"/>
        <v>0</v>
      </c>
    </row>
    <row r="15" spans="1:9" ht="41.4" customHeight="1" x14ac:dyDescent="0.3">
      <c r="A15" s="112" t="s">
        <v>331</v>
      </c>
      <c r="B15" s="106" t="s">
        <v>332</v>
      </c>
      <c r="C15" s="124"/>
      <c r="D15" s="124">
        <v>0</v>
      </c>
      <c r="E15" s="125">
        <f t="shared" si="0"/>
        <v>0</v>
      </c>
      <c r="F15" s="124">
        <v>0</v>
      </c>
      <c r="G15" s="124"/>
      <c r="H15" s="125">
        <f t="shared" si="1"/>
        <v>0</v>
      </c>
      <c r="I15" s="125">
        <f t="shared" si="2"/>
        <v>0</v>
      </c>
    </row>
    <row r="16" spans="1:9" ht="69" customHeight="1" x14ac:dyDescent="0.3">
      <c r="A16" s="112" t="s">
        <v>333</v>
      </c>
      <c r="B16" s="106" t="s">
        <v>334</v>
      </c>
      <c r="C16" s="124">
        <v>0</v>
      </c>
      <c r="D16" s="124">
        <v>0</v>
      </c>
      <c r="E16" s="125">
        <f t="shared" si="0"/>
        <v>0</v>
      </c>
      <c r="F16" s="124">
        <v>0</v>
      </c>
      <c r="G16" s="124">
        <v>0</v>
      </c>
      <c r="H16" s="125">
        <f t="shared" si="1"/>
        <v>0</v>
      </c>
      <c r="I16" s="125">
        <f t="shared" si="2"/>
        <v>0</v>
      </c>
    </row>
    <row r="17" spans="1:9" ht="55.2" customHeight="1" x14ac:dyDescent="0.3">
      <c r="A17" s="112" t="s">
        <v>335</v>
      </c>
      <c r="B17" s="106" t="s">
        <v>336</v>
      </c>
      <c r="C17" s="124">
        <v>0</v>
      </c>
      <c r="D17" s="124">
        <v>0</v>
      </c>
      <c r="E17" s="125">
        <f t="shared" si="0"/>
        <v>0</v>
      </c>
      <c r="F17" s="124">
        <v>0</v>
      </c>
      <c r="G17" s="124">
        <v>0</v>
      </c>
      <c r="H17" s="125">
        <f t="shared" si="1"/>
        <v>0</v>
      </c>
      <c r="I17" s="125">
        <f t="shared" si="2"/>
        <v>0</v>
      </c>
    </row>
    <row r="18" spans="1:9" s="111" customFormat="1" x14ac:dyDescent="0.3">
      <c r="A18" s="112"/>
      <c r="B18" s="117" t="s">
        <v>337</v>
      </c>
      <c r="C18" s="126">
        <f t="shared" ref="C18:I18" si="3">SUM(C5:C17)</f>
        <v>476181.24</v>
      </c>
      <c r="D18" s="126">
        <f t="shared" si="3"/>
        <v>0</v>
      </c>
      <c r="E18" s="126">
        <f t="shared" si="3"/>
        <v>476181.24</v>
      </c>
      <c r="F18" s="126">
        <f t="shared" si="3"/>
        <v>0</v>
      </c>
      <c r="G18" s="126">
        <f t="shared" si="3"/>
        <v>90474.44</v>
      </c>
      <c r="H18" s="126">
        <f t="shared" si="3"/>
        <v>90474.44</v>
      </c>
      <c r="I18" s="126">
        <f t="shared" si="3"/>
        <v>566655.67999999993</v>
      </c>
    </row>
    <row r="19" spans="1:9" s="82" customFormat="1" ht="13.8" customHeight="1" x14ac:dyDescent="0.3">
      <c r="A19" s="113"/>
      <c r="B19" s="118" t="s">
        <v>338</v>
      </c>
      <c r="C19" s="127">
        <v>0</v>
      </c>
      <c r="D19" s="127">
        <v>0</v>
      </c>
      <c r="E19" s="128">
        <f>C19+D19</f>
        <v>0</v>
      </c>
      <c r="F19" s="127">
        <v>0</v>
      </c>
      <c r="G19" s="127">
        <v>0</v>
      </c>
      <c r="H19" s="128">
        <f>F19+G19</f>
        <v>0</v>
      </c>
      <c r="I19" s="129">
        <f>E19+H19</f>
        <v>0</v>
      </c>
    </row>
    <row r="20" spans="1:9" s="83" customFormat="1" ht="13.8" customHeight="1" x14ac:dyDescent="0.3">
      <c r="A20" s="231"/>
      <c r="B20" s="109"/>
      <c r="C20" s="130"/>
      <c r="D20" s="130"/>
      <c r="E20" s="130"/>
      <c r="F20" s="130"/>
      <c r="G20" s="130"/>
      <c r="H20" s="130"/>
      <c r="I20" s="130"/>
    </row>
    <row r="21" spans="1:9" x14ac:dyDescent="0.3">
      <c r="A21" s="114"/>
      <c r="B21" s="110"/>
      <c r="C21" s="130"/>
      <c r="D21" s="130"/>
      <c r="E21" s="130"/>
      <c r="F21" s="130"/>
      <c r="G21" s="130"/>
      <c r="H21" s="130"/>
      <c r="I21" s="130"/>
    </row>
    <row r="22" spans="1:9" x14ac:dyDescent="0.3">
      <c r="A22" s="85" t="s">
        <v>339</v>
      </c>
      <c r="B22" s="84" t="s">
        <v>340</v>
      </c>
      <c r="C22" s="166" t="s">
        <v>341</v>
      </c>
      <c r="D22" s="130"/>
      <c r="E22" s="130"/>
      <c r="F22" s="130"/>
      <c r="G22" s="130"/>
      <c r="H22" s="130"/>
      <c r="I22" s="130"/>
    </row>
    <row r="23" spans="1:9" x14ac:dyDescent="0.3">
      <c r="A23" s="81" t="s">
        <v>342</v>
      </c>
      <c r="B23" s="85" t="s">
        <v>343</v>
      </c>
      <c r="C23" s="234">
        <f>I18</f>
        <v>566655.67999999993</v>
      </c>
      <c r="D23" s="130"/>
      <c r="E23" s="130"/>
      <c r="F23" s="130"/>
      <c r="G23" s="130"/>
      <c r="H23" s="130"/>
      <c r="I23" s="130"/>
    </row>
    <row r="24" spans="1:9" x14ac:dyDescent="0.3">
      <c r="A24" s="81" t="s">
        <v>344</v>
      </c>
      <c r="B24" s="81" t="s">
        <v>345</v>
      </c>
      <c r="C24" s="235">
        <f>H18</f>
        <v>90474.44</v>
      </c>
      <c r="D24" s="130"/>
      <c r="E24" s="130"/>
      <c r="F24" s="130"/>
      <c r="G24" s="130"/>
      <c r="H24" s="130"/>
      <c r="I24" s="130"/>
    </row>
    <row r="25" spans="1:9" x14ac:dyDescent="0.3">
      <c r="A25" s="81" t="s">
        <v>346</v>
      </c>
      <c r="B25" s="81" t="s">
        <v>347</v>
      </c>
      <c r="C25" s="235">
        <f>C23-C24</f>
        <v>476181.23999999993</v>
      </c>
      <c r="D25" s="130"/>
      <c r="E25" s="130"/>
      <c r="F25" s="130"/>
      <c r="G25" s="130"/>
      <c r="H25" s="130"/>
      <c r="I25" s="130"/>
    </row>
    <row r="26" spans="1:9" x14ac:dyDescent="0.3">
      <c r="A26" s="81" t="s">
        <v>348</v>
      </c>
      <c r="B26" s="85" t="s">
        <v>349</v>
      </c>
      <c r="C26" s="234">
        <f>SUM(C27:C28)</f>
        <v>304756</v>
      </c>
      <c r="D26" s="130"/>
      <c r="E26" s="130"/>
      <c r="F26" s="130"/>
      <c r="G26" s="130"/>
      <c r="H26" s="130"/>
      <c r="I26" s="130"/>
    </row>
    <row r="27" spans="1:9" x14ac:dyDescent="0.3">
      <c r="A27" s="81" t="s">
        <v>350</v>
      </c>
      <c r="B27" s="81" t="s">
        <v>351</v>
      </c>
      <c r="C27" s="131">
        <v>214281.56</v>
      </c>
      <c r="D27" s="359" t="str">
        <f>IF(C27&lt;C25*0.1,"!!! Contribuția la cheltuielile eligibile nu este de minimum 10%","")</f>
        <v/>
      </c>
      <c r="E27" s="360"/>
      <c r="F27" s="361"/>
      <c r="G27" s="361"/>
      <c r="H27" s="360"/>
      <c r="I27" s="360"/>
    </row>
    <row r="28" spans="1:9" x14ac:dyDescent="0.3">
      <c r="A28" s="81" t="s">
        <v>352</v>
      </c>
      <c r="B28" s="81" t="s">
        <v>353</v>
      </c>
      <c r="C28" s="235">
        <f>H18</f>
        <v>90474.44</v>
      </c>
      <c r="D28" s="130"/>
      <c r="E28" s="130"/>
      <c r="F28" s="130"/>
      <c r="G28" s="130"/>
      <c r="H28" s="130"/>
      <c r="I28" s="130"/>
    </row>
    <row r="29" spans="1:9" x14ac:dyDescent="0.3">
      <c r="A29" s="81" t="s">
        <v>354</v>
      </c>
      <c r="B29" s="85" t="s">
        <v>355</v>
      </c>
      <c r="C29" s="234">
        <f>C23-C26</f>
        <v>261899.67999999993</v>
      </c>
      <c r="D29" s="130"/>
      <c r="E29" s="130"/>
      <c r="F29" s="130"/>
      <c r="G29" s="130"/>
      <c r="H29" s="130"/>
      <c r="I29" s="130"/>
    </row>
    <row r="30" spans="1:9" x14ac:dyDescent="0.3">
      <c r="A30" s="114"/>
      <c r="B30" s="109"/>
      <c r="C30" s="130"/>
      <c r="D30" s="130"/>
      <c r="E30" s="130"/>
      <c r="F30" s="130"/>
      <c r="G30" s="130"/>
      <c r="H30" s="130"/>
      <c r="I30" s="130"/>
    </row>
    <row r="31" spans="1:9" x14ac:dyDescent="0.3">
      <c r="A31" s="114"/>
      <c r="B31" s="109"/>
      <c r="C31" s="130"/>
      <c r="D31" s="130"/>
      <c r="E31" s="130"/>
      <c r="F31" s="130"/>
      <c r="G31" s="130"/>
      <c r="H31" s="130"/>
      <c r="I31" s="130"/>
    </row>
  </sheetData>
  <mergeCells count="9">
    <mergeCell ref="D27:I27"/>
    <mergeCell ref="A1:I1"/>
    <mergeCell ref="C3:D3"/>
    <mergeCell ref="F3:G3"/>
    <mergeCell ref="E3:E4"/>
    <mergeCell ref="H3:H4"/>
    <mergeCell ref="I3:I4"/>
    <mergeCell ref="B3:B4"/>
    <mergeCell ref="A3:A4"/>
  </mergeCells>
  <pageMargins left="0.48007246376811602" right="0.43478260869565222" top="0.55118110236220474" bottom="0.79710144927536231" header="0.31496062992125978" footer="0.31496062992125978"/>
  <pageSetup paperSize="9" fitToHeight="0" orientation="landscape" blackAndWhite="1"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M195"/>
  <sheetViews>
    <sheetView topLeftCell="A183" workbookViewId="0">
      <selection activeCell="J137" sqref="J137"/>
    </sheetView>
  </sheetViews>
  <sheetFormatPr defaultColWidth="9.109375" defaultRowHeight="13.8" x14ac:dyDescent="0.3"/>
  <cols>
    <col min="1" max="1" width="4.44140625" style="27" customWidth="1"/>
    <col min="2" max="2" width="33" style="297" customWidth="1"/>
    <col min="3" max="3" width="10.44140625" style="298" customWidth="1"/>
    <col min="4" max="13" width="10.44140625" style="299" customWidth="1"/>
    <col min="14" max="15" width="9.109375" style="89" customWidth="1"/>
    <col min="16" max="16384" width="9.109375" style="89"/>
  </cols>
  <sheetData>
    <row r="1" spans="1:13" x14ac:dyDescent="0.3">
      <c r="A1" s="344" t="s">
        <v>356</v>
      </c>
      <c r="B1" s="370"/>
      <c r="C1" s="371"/>
      <c r="D1" s="372"/>
      <c r="E1" s="372"/>
      <c r="F1" s="372"/>
      <c r="G1" s="372"/>
    </row>
    <row r="2" spans="1:13" x14ac:dyDescent="0.3">
      <c r="A2" s="287"/>
      <c r="B2" s="132"/>
      <c r="C2" s="119"/>
      <c r="D2" s="119"/>
      <c r="E2" s="119"/>
      <c r="F2" s="119"/>
      <c r="G2" s="119"/>
    </row>
    <row r="3" spans="1:13" ht="189" customHeight="1" x14ac:dyDescent="0.3">
      <c r="A3" s="89"/>
      <c r="B3" s="374" t="s">
        <v>357</v>
      </c>
      <c r="C3" s="371"/>
      <c r="D3" s="372"/>
      <c r="E3" s="372"/>
      <c r="F3" s="372"/>
      <c r="G3" s="372"/>
      <c r="H3" s="372"/>
      <c r="I3" s="372"/>
      <c r="J3" s="372"/>
      <c r="K3" s="372"/>
      <c r="L3" s="372"/>
      <c r="M3" s="372"/>
    </row>
    <row r="4" spans="1:13" s="86" customFormat="1" ht="14.4" customHeight="1" x14ac:dyDescent="0.3">
      <c r="A4" s="379" t="s">
        <v>358</v>
      </c>
      <c r="B4" s="380"/>
      <c r="C4" s="380"/>
      <c r="D4" s="380"/>
      <c r="E4" s="380"/>
      <c r="F4" s="380"/>
      <c r="G4" s="380"/>
    </row>
    <row r="5" spans="1:13" s="86" customFormat="1" ht="14.4" customHeight="1" x14ac:dyDescent="0.3">
      <c r="A5" s="376" t="s">
        <v>359</v>
      </c>
      <c r="B5" s="375"/>
      <c r="C5" s="377" t="s">
        <v>286</v>
      </c>
      <c r="D5" s="378" t="s">
        <v>360</v>
      </c>
      <c r="E5" s="324"/>
      <c r="F5" s="324"/>
      <c r="G5" s="335"/>
    </row>
    <row r="6" spans="1:13" s="86" customFormat="1" ht="30.6" customHeight="1" x14ac:dyDescent="0.3">
      <c r="A6" s="350"/>
      <c r="B6" s="350"/>
      <c r="C6" s="350"/>
      <c r="D6" s="250" t="s">
        <v>361</v>
      </c>
      <c r="E6" s="296" t="s">
        <v>362</v>
      </c>
      <c r="F6" s="296" t="s">
        <v>363</v>
      </c>
      <c r="G6" s="296" t="s">
        <v>364</v>
      </c>
    </row>
    <row r="7" spans="1:13" s="86" customFormat="1" ht="14.4" customHeight="1" x14ac:dyDescent="0.3">
      <c r="A7" s="369" t="s">
        <v>365</v>
      </c>
      <c r="B7" s="324"/>
      <c r="C7" s="324"/>
      <c r="D7" s="324"/>
      <c r="E7" s="324"/>
      <c r="F7" s="324"/>
      <c r="G7" s="335"/>
    </row>
    <row r="8" spans="1:13" s="86" customFormat="1" ht="14.4" customHeight="1" x14ac:dyDescent="0.3">
      <c r="A8" s="368" t="s">
        <v>366</v>
      </c>
      <c r="B8" s="324"/>
      <c r="C8" s="324"/>
      <c r="D8" s="324"/>
      <c r="E8" s="324"/>
      <c r="F8" s="324"/>
      <c r="G8" s="335"/>
    </row>
    <row r="9" spans="1:13" s="86" customFormat="1" ht="14.4" customHeight="1" x14ac:dyDescent="0.3">
      <c r="A9" s="4">
        <v>1</v>
      </c>
      <c r="B9" s="300" t="s">
        <v>367</v>
      </c>
      <c r="C9" s="122">
        <f>SUM(D9:G9)</f>
        <v>0</v>
      </c>
      <c r="D9" s="121">
        <f>D10*D11</f>
        <v>0</v>
      </c>
      <c r="E9" s="121">
        <f>E10*E11</f>
        <v>0</v>
      </c>
      <c r="F9" s="121">
        <f>F10*F11</f>
        <v>0</v>
      </c>
      <c r="G9" s="121">
        <f>G10*G11</f>
        <v>0</v>
      </c>
    </row>
    <row r="10" spans="1:13" s="87" customFormat="1" ht="14.4" customHeight="1" x14ac:dyDescent="0.3">
      <c r="A10" s="5"/>
      <c r="B10" s="300" t="s">
        <v>368</v>
      </c>
      <c r="C10" s="122"/>
      <c r="D10" s="120">
        <v>0</v>
      </c>
      <c r="E10" s="120">
        <v>0</v>
      </c>
      <c r="F10" s="120">
        <v>0</v>
      </c>
      <c r="G10" s="120">
        <v>0</v>
      </c>
    </row>
    <row r="11" spans="1:13" s="87" customFormat="1" ht="14.4" customHeight="1" x14ac:dyDescent="0.3">
      <c r="A11" s="5"/>
      <c r="B11" s="300" t="s">
        <v>369</v>
      </c>
      <c r="C11" s="122"/>
      <c r="D11" s="120">
        <v>0</v>
      </c>
      <c r="E11" s="120">
        <v>0</v>
      </c>
      <c r="F11" s="120">
        <v>0</v>
      </c>
      <c r="G11" s="120">
        <v>0</v>
      </c>
    </row>
    <row r="12" spans="1:13" s="86" customFormat="1" ht="14.4" customHeight="1" x14ac:dyDescent="0.3">
      <c r="A12" s="4">
        <v>2</v>
      </c>
      <c r="B12" s="300" t="s">
        <v>370</v>
      </c>
      <c r="C12" s="122">
        <f>SUM(D12:G12)</f>
        <v>0</v>
      </c>
      <c r="D12" s="121">
        <f>D13*D14</f>
        <v>0</v>
      </c>
      <c r="E12" s="121">
        <f>E13*E14</f>
        <v>0</v>
      </c>
      <c r="F12" s="121">
        <f>F13*F14</f>
        <v>0</v>
      </c>
      <c r="G12" s="121">
        <f>G13*G14</f>
        <v>0</v>
      </c>
    </row>
    <row r="13" spans="1:13" s="87" customFormat="1" ht="14.4" customHeight="1" x14ac:dyDescent="0.3">
      <c r="A13" s="5"/>
      <c r="B13" s="300" t="s">
        <v>371</v>
      </c>
      <c r="C13" s="122"/>
      <c r="D13" s="120"/>
      <c r="E13" s="120"/>
      <c r="F13" s="120"/>
      <c r="G13" s="120"/>
      <c r="K13" s="223"/>
    </row>
    <row r="14" spans="1:13" s="87" customFormat="1" ht="14.4" customHeight="1" x14ac:dyDescent="0.3">
      <c r="A14" s="5"/>
      <c r="B14" s="300" t="s">
        <v>372</v>
      </c>
      <c r="C14" s="122"/>
      <c r="D14" s="120">
        <f>'1B-ContPP'!D13*1.03*1.19</f>
        <v>0</v>
      </c>
      <c r="E14" s="120">
        <f>D14*1.03</f>
        <v>0</v>
      </c>
      <c r="F14" s="120">
        <f>E14</f>
        <v>0</v>
      </c>
      <c r="G14" s="120">
        <f>F14</f>
        <v>0</v>
      </c>
    </row>
    <row r="15" spans="1:13" s="86" customFormat="1" ht="14.4" customHeight="1" x14ac:dyDescent="0.3">
      <c r="A15" s="4">
        <v>3</v>
      </c>
      <c r="B15" s="300" t="s">
        <v>373</v>
      </c>
      <c r="C15" s="122">
        <f>SUM(D15:G15)</f>
        <v>10593476.253864</v>
      </c>
      <c r="D15" s="121">
        <f>D16*D17</f>
        <v>2609230.6043999996</v>
      </c>
      <c r="E15" s="121">
        <f>E16*E17</f>
        <v>2635322.9104439998</v>
      </c>
      <c r="F15" s="121">
        <f>F16*F17</f>
        <v>2661415.216488</v>
      </c>
      <c r="G15" s="121">
        <f>G16*G17</f>
        <v>2687507.5225320002</v>
      </c>
    </row>
    <row r="16" spans="1:13" s="87" customFormat="1" ht="14.4" customHeight="1" x14ac:dyDescent="0.3">
      <c r="A16" s="5"/>
      <c r="B16" s="300" t="s">
        <v>374</v>
      </c>
      <c r="C16" s="122"/>
      <c r="D16" s="120">
        <v>1</v>
      </c>
      <c r="E16" s="120">
        <v>1</v>
      </c>
      <c r="F16" s="120">
        <v>1</v>
      </c>
      <c r="G16" s="120">
        <v>1</v>
      </c>
    </row>
    <row r="17" spans="1:7" s="87" customFormat="1" ht="14.4" customHeight="1" x14ac:dyDescent="0.3">
      <c r="A17" s="5"/>
      <c r="B17" s="300" t="s">
        <v>375</v>
      </c>
      <c r="C17" s="122"/>
      <c r="D17" s="120">
        <f>'1B-ContPP'!C6*1.19*0.02 + '1B-ContPP'!C6*1.19</f>
        <v>2609230.6043999996</v>
      </c>
      <c r="E17" s="120">
        <f>D17*0.01 + D17</f>
        <v>2635322.9104439998</v>
      </c>
      <c r="F17" s="120">
        <f>D17*0.01 + E17</f>
        <v>2661415.216488</v>
      </c>
      <c r="G17" s="120">
        <f>D17*0.01 +F17</f>
        <v>2687507.5225320002</v>
      </c>
    </row>
    <row r="18" spans="1:7" s="88" customFormat="1" ht="24" customHeight="1" x14ac:dyDescent="0.3">
      <c r="A18" s="137"/>
      <c r="B18" s="293" t="s">
        <v>376</v>
      </c>
      <c r="C18" s="122">
        <f>SUM(D18:G18)</f>
        <v>10593476.253864</v>
      </c>
      <c r="D18" s="122">
        <f>D9+D12+D15</f>
        <v>2609230.6043999996</v>
      </c>
      <c r="E18" s="122">
        <f>E9+E12+E15</f>
        <v>2635322.9104439998</v>
      </c>
      <c r="F18" s="122">
        <f>F9+F12+F15</f>
        <v>2661415.216488</v>
      </c>
      <c r="G18" s="122">
        <f>G9+G12+G15</f>
        <v>2687507.5225320002</v>
      </c>
    </row>
    <row r="19" spans="1:7" s="88" customFormat="1" ht="14.4" customHeight="1" x14ac:dyDescent="0.3">
      <c r="A19" s="369" t="s">
        <v>377</v>
      </c>
      <c r="B19" s="324"/>
      <c r="C19" s="324"/>
      <c r="D19" s="324"/>
      <c r="E19" s="324"/>
      <c r="F19" s="324"/>
      <c r="G19" s="335"/>
    </row>
    <row r="20" spans="1:7" s="88" customFormat="1" ht="14.4" customHeight="1" x14ac:dyDescent="0.3">
      <c r="A20" s="368" t="s">
        <v>378</v>
      </c>
      <c r="B20" s="324"/>
      <c r="C20" s="324"/>
      <c r="D20" s="324"/>
      <c r="E20" s="324"/>
      <c r="F20" s="324"/>
      <c r="G20" s="335"/>
    </row>
    <row r="21" spans="1:7" s="86" customFormat="1" ht="24" customHeight="1" x14ac:dyDescent="0.3">
      <c r="A21" s="4">
        <v>5</v>
      </c>
      <c r="B21" s="6" t="s">
        <v>379</v>
      </c>
      <c r="C21" s="122">
        <f>SUM(D21:G21)</f>
        <v>545586.90790800005</v>
      </c>
      <c r="D21" s="121">
        <f>SUM(D22*D23)+SUM(D24*D25)</f>
        <v>134381.01180000001</v>
      </c>
      <c r="E21" s="121">
        <f>SUM(E22*E23)+SUM(E24*E25)</f>
        <v>135724.821918</v>
      </c>
      <c r="F21" s="121">
        <f>SUM(F22*F23)+SUM(F24*F25)</f>
        <v>137068.632036</v>
      </c>
      <c r="G21" s="121">
        <f>SUM(G22*G23)+SUM(G24*G25)</f>
        <v>138412.44215399999</v>
      </c>
    </row>
    <row r="22" spans="1:7" s="88" customFormat="1" ht="14.4" customHeight="1" x14ac:dyDescent="0.3">
      <c r="A22" s="4"/>
      <c r="B22" s="300" t="s">
        <v>380</v>
      </c>
      <c r="C22" s="122"/>
      <c r="D22" s="120">
        <v>1</v>
      </c>
      <c r="E22" s="120">
        <v>1</v>
      </c>
      <c r="F22" s="120">
        <v>1</v>
      </c>
      <c r="G22" s="120">
        <v>1</v>
      </c>
    </row>
    <row r="23" spans="1:7" s="88" customFormat="1" ht="14.4" customHeight="1" x14ac:dyDescent="0.3">
      <c r="A23" s="4"/>
      <c r="B23" s="300" t="s">
        <v>381</v>
      </c>
      <c r="C23" s="122"/>
      <c r="D23" s="120">
        <f>('1B-ContPP'!C14 +'1B-ContPP'!C15)*1.19*0.02 + ('1B-ContPP'!C14 +'1B-ContPP'!C15)*1.19</f>
        <v>134381.01180000001</v>
      </c>
      <c r="E23" s="120">
        <f>D23*0.01 + D23</f>
        <v>135724.821918</v>
      </c>
      <c r="F23" s="120">
        <f>D23*0.01 +E23</f>
        <v>137068.632036</v>
      </c>
      <c r="G23" s="120">
        <f>D23*0.01 +F23</f>
        <v>138412.44215399999</v>
      </c>
    </row>
    <row r="24" spans="1:7" s="88" customFormat="1" ht="14.4" customHeight="1" x14ac:dyDescent="0.3">
      <c r="A24" s="4"/>
      <c r="B24" s="300" t="s">
        <v>382</v>
      </c>
      <c r="C24" s="122"/>
      <c r="D24" s="120">
        <v>1</v>
      </c>
      <c r="E24" s="120">
        <v>1</v>
      </c>
      <c r="F24" s="120">
        <v>1</v>
      </c>
      <c r="G24" s="120">
        <v>1</v>
      </c>
    </row>
    <row r="25" spans="1:7" s="88" customFormat="1" ht="14.4" customHeight="1" x14ac:dyDescent="0.3">
      <c r="A25" s="4"/>
      <c r="B25" s="300" t="s">
        <v>383</v>
      </c>
      <c r="C25" s="122"/>
      <c r="D25" s="120">
        <v>0</v>
      </c>
      <c r="E25" s="120">
        <f>D25*1.05</f>
        <v>0</v>
      </c>
      <c r="F25" s="120">
        <f>E25*1.05</f>
        <v>0</v>
      </c>
      <c r="G25" s="120">
        <f>F25*1.05</f>
        <v>0</v>
      </c>
    </row>
    <row r="26" spans="1:7" s="86" customFormat="1" ht="14.4" customHeight="1" x14ac:dyDescent="0.3">
      <c r="A26" s="4">
        <v>6</v>
      </c>
      <c r="B26" s="6" t="s">
        <v>384</v>
      </c>
      <c r="C26" s="122">
        <f>SUM(D26:G26)</f>
        <v>2584272.351695999</v>
      </c>
      <c r="D26" s="121">
        <f>D27*D28</f>
        <v>627250.57079999987</v>
      </c>
      <c r="E26" s="121">
        <f>E27*E28</f>
        <v>639795.58221599984</v>
      </c>
      <c r="F26" s="121">
        <f>F27*F28</f>
        <v>652340.5936319998</v>
      </c>
      <c r="G26" s="121">
        <f>G27*G28</f>
        <v>664885.60504799976</v>
      </c>
    </row>
    <row r="27" spans="1:7" s="88" customFormat="1" ht="14.4" customHeight="1" x14ac:dyDescent="0.3">
      <c r="A27" s="4"/>
      <c r="B27" s="300" t="s">
        <v>374</v>
      </c>
      <c r="C27" s="122"/>
      <c r="D27" s="120">
        <v>1</v>
      </c>
      <c r="E27" s="120">
        <v>1</v>
      </c>
      <c r="F27" s="120">
        <v>1</v>
      </c>
      <c r="G27" s="120">
        <v>1</v>
      </c>
    </row>
    <row r="28" spans="1:7" s="88" customFormat="1" ht="14.4" customHeight="1" x14ac:dyDescent="0.3">
      <c r="A28" s="4"/>
      <c r="B28" s="300" t="s">
        <v>385</v>
      </c>
      <c r="C28" s="122"/>
      <c r="D28" s="120">
        <f>'1B-ContPP'!C17*1.19*0.02 + '1B-ContPP'!C17*1.19</f>
        <v>627250.57079999987</v>
      </c>
      <c r="E28" s="120">
        <f>D28*0.02 + D28</f>
        <v>639795.58221599984</v>
      </c>
      <c r="F28" s="120">
        <f>D28*0.02+E28</f>
        <v>652340.5936319998</v>
      </c>
      <c r="G28" s="120">
        <f>D28*0.02 +F28</f>
        <v>664885.60504799976</v>
      </c>
    </row>
    <row r="29" spans="1:7" s="88" customFormat="1" ht="24" customHeight="1" x14ac:dyDescent="0.3">
      <c r="A29" s="4">
        <v>7</v>
      </c>
      <c r="B29" s="300" t="s">
        <v>386</v>
      </c>
      <c r="C29" s="122">
        <f>SUM(D29:G29)</f>
        <v>0</v>
      </c>
      <c r="D29" s="120">
        <v>0</v>
      </c>
      <c r="E29" s="120">
        <f>D29*1.01</f>
        <v>0</v>
      </c>
      <c r="F29" s="120">
        <f>E29*1.01</f>
        <v>0</v>
      </c>
      <c r="G29" s="120">
        <f>F29*1.01</f>
        <v>0</v>
      </c>
    </row>
    <row r="30" spans="1:7" s="88" customFormat="1" ht="14.4" customHeight="1" x14ac:dyDescent="0.3">
      <c r="A30" s="4">
        <v>8</v>
      </c>
      <c r="B30" s="300" t="s">
        <v>387</v>
      </c>
      <c r="C30" s="122">
        <f>SUM(D30:G30)</f>
        <v>162455.43848800001</v>
      </c>
      <c r="D30" s="121">
        <f>D31*D32</f>
        <v>40013.654799999997</v>
      </c>
      <c r="E30" s="121">
        <f>E31*E32</f>
        <v>40413.791347999999</v>
      </c>
      <c r="F30" s="121">
        <f>F31*F32</f>
        <v>40813.927896000001</v>
      </c>
      <c r="G30" s="121">
        <f>G31*G32</f>
        <v>41214.064444000003</v>
      </c>
    </row>
    <row r="31" spans="1:7" s="88" customFormat="1" ht="24" customHeight="1" x14ac:dyDescent="0.3">
      <c r="A31" s="4"/>
      <c r="B31" s="300" t="s">
        <v>388</v>
      </c>
      <c r="C31" s="122"/>
      <c r="D31" s="120">
        <v>1</v>
      </c>
      <c r="E31" s="120">
        <v>1</v>
      </c>
      <c r="F31" s="120">
        <v>1</v>
      </c>
      <c r="G31" s="120">
        <v>1</v>
      </c>
    </row>
    <row r="32" spans="1:7" s="88" customFormat="1" ht="14.4" customHeight="1" x14ac:dyDescent="0.3">
      <c r="A32" s="4"/>
      <c r="B32" s="300" t="s">
        <v>389</v>
      </c>
      <c r="C32" s="122"/>
      <c r="D32" s="120">
        <f>'1B-ContPP'!C16*1.19*0.01 + '1B-ContPP'!C16*1.19</f>
        <v>40013.654799999997</v>
      </c>
      <c r="E32" s="120">
        <f>D32*0.01 + D32</f>
        <v>40413.791347999999</v>
      </c>
      <c r="F32" s="120">
        <f>D32*0.01 + E32</f>
        <v>40813.927896000001</v>
      </c>
      <c r="G32" s="120">
        <f>D32*0.01 + F32</f>
        <v>41214.064444000003</v>
      </c>
    </row>
    <row r="33" spans="1:7" s="88" customFormat="1" ht="14.4" customHeight="1" x14ac:dyDescent="0.3">
      <c r="A33" s="4">
        <v>9</v>
      </c>
      <c r="B33" s="300" t="s">
        <v>390</v>
      </c>
      <c r="C33" s="122">
        <f>SUM(D33:G33)</f>
        <v>0</v>
      </c>
      <c r="D33" s="121">
        <f>D34*D35</f>
        <v>0</v>
      </c>
      <c r="E33" s="121">
        <f>E34*E35</f>
        <v>0</v>
      </c>
      <c r="F33" s="121">
        <f>F34*F35</f>
        <v>0</v>
      </c>
      <c r="G33" s="121">
        <f>G34*G35</f>
        <v>0</v>
      </c>
    </row>
    <row r="34" spans="1:7" s="88" customFormat="1" ht="24" customHeight="1" x14ac:dyDescent="0.3">
      <c r="A34" s="4"/>
      <c r="B34" s="300" t="s">
        <v>388</v>
      </c>
      <c r="C34" s="122"/>
      <c r="D34" s="120">
        <v>0</v>
      </c>
      <c r="E34" s="120">
        <v>0</v>
      </c>
      <c r="F34" s="120">
        <v>0</v>
      </c>
      <c r="G34" s="120">
        <v>0</v>
      </c>
    </row>
    <row r="35" spans="1:7" s="88" customFormat="1" ht="14.4" customHeight="1" x14ac:dyDescent="0.3">
      <c r="A35" s="4"/>
      <c r="B35" s="300" t="s">
        <v>389</v>
      </c>
      <c r="C35" s="122"/>
      <c r="D35" s="120">
        <v>0</v>
      </c>
      <c r="E35" s="120">
        <v>0</v>
      </c>
      <c r="F35" s="120">
        <v>0</v>
      </c>
      <c r="G35" s="120">
        <v>0</v>
      </c>
    </row>
    <row r="36" spans="1:7" s="88" customFormat="1" ht="14.4" customHeight="1" x14ac:dyDescent="0.3">
      <c r="A36" s="4">
        <v>10</v>
      </c>
      <c r="B36" s="300" t="s">
        <v>391</v>
      </c>
      <c r="C36" s="122">
        <f>SUM(D36:G36)</f>
        <v>0</v>
      </c>
      <c r="D36" s="121">
        <f>D37*D38</f>
        <v>0</v>
      </c>
      <c r="E36" s="121">
        <f>E37*E38</f>
        <v>0</v>
      </c>
      <c r="F36" s="121">
        <f>F37*F38</f>
        <v>0</v>
      </c>
      <c r="G36" s="121">
        <f>G37*G38</f>
        <v>0</v>
      </c>
    </row>
    <row r="37" spans="1:7" s="88" customFormat="1" ht="24" customHeight="1" x14ac:dyDescent="0.3">
      <c r="A37" s="4"/>
      <c r="B37" s="300" t="s">
        <v>388</v>
      </c>
      <c r="C37" s="122"/>
      <c r="D37" s="120">
        <v>0</v>
      </c>
      <c r="E37" s="120">
        <v>0</v>
      </c>
      <c r="F37" s="120">
        <v>0</v>
      </c>
      <c r="G37" s="120">
        <v>0</v>
      </c>
    </row>
    <row r="38" spans="1:7" s="88" customFormat="1" ht="14.4" customHeight="1" x14ac:dyDescent="0.3">
      <c r="A38" s="4"/>
      <c r="B38" s="300" t="s">
        <v>389</v>
      </c>
      <c r="C38" s="122"/>
      <c r="D38" s="120">
        <v>0</v>
      </c>
      <c r="E38" s="120">
        <v>0</v>
      </c>
      <c r="F38" s="120">
        <v>0</v>
      </c>
      <c r="G38" s="120">
        <v>0</v>
      </c>
    </row>
    <row r="39" spans="1:7" s="86" customFormat="1" ht="14.4" customHeight="1" x14ac:dyDescent="0.3">
      <c r="A39" s="4"/>
      <c r="B39" s="293" t="s">
        <v>392</v>
      </c>
      <c r="C39" s="122">
        <f>SUM(D39:G39)</f>
        <v>3292314.6980919992</v>
      </c>
      <c r="D39" s="122">
        <f>D21+D26+D29+D30+D33+D36</f>
        <v>801645.23739999987</v>
      </c>
      <c r="E39" s="122">
        <f>E21+E26+E29+E30+E33+E36</f>
        <v>815934.19548199978</v>
      </c>
      <c r="F39" s="122">
        <f>F21+F26+F29+F30+F33+F36</f>
        <v>830223.1535639998</v>
      </c>
      <c r="G39" s="122">
        <f>G21+G26+G29+G30+G33+G36</f>
        <v>844512.11164599971</v>
      </c>
    </row>
    <row r="40" spans="1:7" s="86" customFormat="1" ht="14.4" customHeight="1" x14ac:dyDescent="0.3">
      <c r="A40" s="4">
        <v>11</v>
      </c>
      <c r="B40" s="300" t="s">
        <v>393</v>
      </c>
      <c r="C40" s="122">
        <f>SUM(D40:G40)</f>
        <v>679888</v>
      </c>
      <c r="D40" s="122">
        <f>(D41*D42)*D43</f>
        <v>169972</v>
      </c>
      <c r="E40" s="122">
        <f>(E41*E42)*E43</f>
        <v>169972</v>
      </c>
      <c r="F40" s="122">
        <f>(F41*F42)*F43</f>
        <v>169972</v>
      </c>
      <c r="G40" s="122">
        <f>(G41*G42)*G43</f>
        <v>169972</v>
      </c>
    </row>
    <row r="41" spans="1:7" s="86" customFormat="1" ht="14.4" customHeight="1" x14ac:dyDescent="0.3">
      <c r="A41" s="4"/>
      <c r="B41" s="300" t="s">
        <v>394</v>
      </c>
      <c r="C41" s="122"/>
      <c r="D41" s="120">
        <v>1</v>
      </c>
      <c r="E41" s="120">
        <v>1</v>
      </c>
      <c r="F41" s="120">
        <v>1</v>
      </c>
      <c r="G41" s="120">
        <v>1</v>
      </c>
    </row>
    <row r="42" spans="1:7" s="86" customFormat="1" ht="14.4" customHeight="1" x14ac:dyDescent="0.3">
      <c r="A42" s="4"/>
      <c r="B42" s="300" t="s">
        <v>395</v>
      </c>
      <c r="C42" s="122"/>
      <c r="D42" s="120">
        <f>'1B-ContPP'!C19</f>
        <v>169972</v>
      </c>
      <c r="E42" s="120">
        <f>D42*1</f>
        <v>169972</v>
      </c>
      <c r="F42" s="120">
        <f>E42*1</f>
        <v>169972</v>
      </c>
      <c r="G42" s="120">
        <f>F42*1</f>
        <v>169972</v>
      </c>
    </row>
    <row r="43" spans="1:7" s="86" customFormat="1" ht="14.4" customHeight="1" x14ac:dyDescent="0.3">
      <c r="A43" s="4"/>
      <c r="B43" s="300" t="s">
        <v>396</v>
      </c>
      <c r="C43" s="122"/>
      <c r="D43" s="120">
        <v>1</v>
      </c>
      <c r="E43" s="120">
        <v>1</v>
      </c>
      <c r="F43" s="120">
        <v>1</v>
      </c>
      <c r="G43" s="120">
        <v>1</v>
      </c>
    </row>
    <row r="44" spans="1:7" s="86" customFormat="1" ht="14.4" customHeight="1" x14ac:dyDescent="0.3">
      <c r="A44" s="7">
        <v>12</v>
      </c>
      <c r="B44" s="6" t="s">
        <v>397</v>
      </c>
      <c r="C44" s="122">
        <f>SUM(D44:G44)</f>
        <v>15297.48</v>
      </c>
      <c r="D44" s="120">
        <f>'1B-ContPP'!C19*0.0225</f>
        <v>3824.37</v>
      </c>
      <c r="E44" s="120">
        <f>D44*1</f>
        <v>3824.37</v>
      </c>
      <c r="F44" s="120">
        <f>E44*1</f>
        <v>3824.37</v>
      </c>
      <c r="G44" s="120">
        <f>F44*1</f>
        <v>3824.37</v>
      </c>
    </row>
    <row r="45" spans="1:7" s="88" customFormat="1" ht="14.4" customHeight="1" x14ac:dyDescent="0.3">
      <c r="A45" s="4"/>
      <c r="B45" s="293" t="s">
        <v>398</v>
      </c>
      <c r="C45" s="122">
        <f>SUM(D45:G45)</f>
        <v>695185.48</v>
      </c>
      <c r="D45" s="200">
        <f>D40+D44</f>
        <v>173796.37</v>
      </c>
      <c r="E45" s="200">
        <f>E40+E44</f>
        <v>173796.37</v>
      </c>
      <c r="F45" s="200">
        <f>F40+F44</f>
        <v>173796.37</v>
      </c>
      <c r="G45" s="200">
        <f>G40+G44</f>
        <v>173796.37</v>
      </c>
    </row>
    <row r="46" spans="1:7" s="88" customFormat="1" ht="36" customHeight="1" x14ac:dyDescent="0.3">
      <c r="A46" s="4">
        <v>13</v>
      </c>
      <c r="B46" s="6" t="s">
        <v>399</v>
      </c>
      <c r="C46" s="122">
        <f>SUM(D46:G46)</f>
        <v>2232541.3689600001</v>
      </c>
      <c r="D46" s="120">
        <f>'1B-ContPP'!C22*1.19*0.02 + '1B-ContPP'!C22*1.19</f>
        <v>519195.66719999997</v>
      </c>
      <c r="E46" s="120">
        <f>D46*0.05 + D46</f>
        <v>545155.45056000003</v>
      </c>
      <c r="F46" s="120">
        <f>D46*0.05+E46</f>
        <v>571115.23392000003</v>
      </c>
      <c r="G46" s="120">
        <f>D46*0.05+F46</f>
        <v>597075.01728000003</v>
      </c>
    </row>
    <row r="47" spans="1:7" s="88" customFormat="1" ht="14.4" customHeight="1" x14ac:dyDescent="0.3">
      <c r="A47" s="4"/>
      <c r="B47" s="300" t="s">
        <v>400</v>
      </c>
      <c r="C47" s="122">
        <f>SUM(D47:G47)</f>
        <v>0</v>
      </c>
      <c r="D47" s="200">
        <f>D48*D49</f>
        <v>0</v>
      </c>
      <c r="E47" s="200">
        <f>E48*E49</f>
        <v>0</v>
      </c>
      <c r="F47" s="200">
        <f>F48*F49</f>
        <v>0</v>
      </c>
      <c r="G47" s="200">
        <f>G48*G49</f>
        <v>0</v>
      </c>
    </row>
    <row r="48" spans="1:7" s="88" customFormat="1" ht="14.4" customHeight="1" x14ac:dyDescent="0.3">
      <c r="A48" s="4"/>
      <c r="B48" s="300" t="s">
        <v>401</v>
      </c>
      <c r="C48" s="122"/>
      <c r="D48" s="120">
        <v>1</v>
      </c>
      <c r="E48" s="120">
        <v>1</v>
      </c>
      <c r="F48" s="120">
        <v>1</v>
      </c>
      <c r="G48" s="120">
        <v>1</v>
      </c>
    </row>
    <row r="49" spans="1:13" s="88" customFormat="1" ht="14.4" customHeight="1" x14ac:dyDescent="0.3">
      <c r="A49" s="4"/>
      <c r="B49" s="300" t="s">
        <v>372</v>
      </c>
      <c r="C49" s="122"/>
      <c r="D49" s="120">
        <v>0</v>
      </c>
      <c r="E49" s="120">
        <f>D49*1.01</f>
        <v>0</v>
      </c>
      <c r="F49" s="120">
        <f>E49*1.01</f>
        <v>0</v>
      </c>
      <c r="G49" s="120">
        <f>F49*1.01</f>
        <v>0</v>
      </c>
    </row>
    <row r="50" spans="1:13" ht="36" customHeight="1" x14ac:dyDescent="0.3">
      <c r="A50" s="7">
        <v>14</v>
      </c>
      <c r="B50" s="293" t="s">
        <v>402</v>
      </c>
      <c r="C50" s="122">
        <f t="shared" ref="C50:C57" si="0">SUM(D50:G50)</f>
        <v>3317.1012000000001</v>
      </c>
      <c r="D50" s="120">
        <f>'1B-ContPP'!C36*0.02 +'1B-ContPP'!C36</f>
        <v>817.02</v>
      </c>
      <c r="E50" s="120">
        <f>D50*0.01 + D50</f>
        <v>825.1902</v>
      </c>
      <c r="F50" s="120">
        <f>D50*0.01 + E50</f>
        <v>833.36040000000003</v>
      </c>
      <c r="G50" s="120">
        <f>D50*0.01 + F50</f>
        <v>841.53060000000005</v>
      </c>
      <c r="H50" s="89"/>
      <c r="I50" s="89"/>
      <c r="J50" s="89"/>
      <c r="K50" s="89"/>
      <c r="L50" s="89"/>
      <c r="M50" s="89"/>
    </row>
    <row r="51" spans="1:13" ht="24" customHeight="1" x14ac:dyDescent="0.3">
      <c r="A51" s="7"/>
      <c r="B51" s="293" t="s">
        <v>403</v>
      </c>
      <c r="C51" s="122">
        <f t="shared" si="0"/>
        <v>6223358.6482519992</v>
      </c>
      <c r="D51" s="121">
        <f>D39+D45+D46+D50</f>
        <v>1495454.2945999999</v>
      </c>
      <c r="E51" s="121">
        <f>E39+E45+E46+E50</f>
        <v>1535711.2062419998</v>
      </c>
      <c r="F51" s="121">
        <f>F39+F45+F46+F50</f>
        <v>1575968.1178839996</v>
      </c>
      <c r="G51" s="121">
        <f>G39+G45+G46+G50</f>
        <v>1616225.0295259997</v>
      </c>
      <c r="H51" s="89"/>
      <c r="I51" s="89"/>
      <c r="J51" s="89"/>
      <c r="K51" s="89"/>
      <c r="L51" s="89"/>
      <c r="M51" s="89"/>
    </row>
    <row r="52" spans="1:13" ht="24" customHeight="1" x14ac:dyDescent="0.3">
      <c r="A52" s="7"/>
      <c r="B52" s="293" t="s">
        <v>404</v>
      </c>
      <c r="C52" s="122">
        <f t="shared" si="0"/>
        <v>4370117.6056120005</v>
      </c>
      <c r="D52" s="121">
        <f>D18-D51</f>
        <v>1113776.3097999997</v>
      </c>
      <c r="E52" s="121">
        <f>E18-E51</f>
        <v>1099611.7042020001</v>
      </c>
      <c r="F52" s="121">
        <f>F18-F51</f>
        <v>1085447.0986040004</v>
      </c>
      <c r="G52" s="121">
        <f>G18-G51</f>
        <v>1071282.4930060005</v>
      </c>
      <c r="H52" s="89"/>
      <c r="I52" s="89"/>
      <c r="J52" s="89"/>
      <c r="K52" s="89"/>
      <c r="L52" s="89"/>
      <c r="M52" s="89"/>
    </row>
    <row r="53" spans="1:13" x14ac:dyDescent="0.3">
      <c r="A53" s="7">
        <v>15</v>
      </c>
      <c r="B53" s="8" t="s">
        <v>405</v>
      </c>
      <c r="C53" s="122">
        <f t="shared" si="0"/>
        <v>1247828.6685959999</v>
      </c>
      <c r="D53" s="120">
        <f>D18*0.19/1.19 -(D21+D29+D46)*0.19/1.19</f>
        <v>312247.26539999992</v>
      </c>
      <c r="E53" s="120">
        <f>E18*0.19/1.19 -(E21+E29+E46)*0.19/1.19</f>
        <v>312053.86656599998</v>
      </c>
      <c r="F53" s="120">
        <f>F18*0.19/1.19 -(F21+F29+F46)*0.19/1.19</f>
        <v>311860.46773199999</v>
      </c>
      <c r="G53" s="120">
        <f>G18*0.19/1.19 -(G21+G29+G46)*0.19/1.19</f>
        <v>311667.068898</v>
      </c>
      <c r="H53" s="89"/>
      <c r="I53" s="89"/>
      <c r="J53" s="89"/>
      <c r="K53" s="89"/>
      <c r="L53" s="89"/>
      <c r="M53" s="89"/>
    </row>
    <row r="54" spans="1:13" x14ac:dyDescent="0.3">
      <c r="A54" s="7">
        <v>16</v>
      </c>
      <c r="B54" s="8" t="s">
        <v>406</v>
      </c>
      <c r="C54" s="122">
        <f t="shared" si="0"/>
        <v>0</v>
      </c>
      <c r="D54" s="120">
        <v>0</v>
      </c>
      <c r="E54" s="120">
        <v>0</v>
      </c>
      <c r="F54" s="120">
        <v>0</v>
      </c>
      <c r="G54" s="120">
        <v>0</v>
      </c>
      <c r="H54" s="89"/>
      <c r="I54" s="89"/>
      <c r="J54" s="89"/>
      <c r="K54" s="89"/>
      <c r="L54" s="89"/>
      <c r="M54" s="89"/>
    </row>
    <row r="55" spans="1:13" x14ac:dyDescent="0.3">
      <c r="A55" s="7">
        <v>17</v>
      </c>
      <c r="B55" s="8" t="s">
        <v>407</v>
      </c>
      <c r="C55" s="122">
        <f t="shared" si="0"/>
        <v>101768.76409463999</v>
      </c>
      <c r="D55" s="120">
        <f>(D18/1.19)*1/100</f>
        <v>21926.307599999996</v>
      </c>
      <c r="E55" s="120">
        <f>E18*1/100</f>
        <v>26353.229104439997</v>
      </c>
      <c r="F55" s="120">
        <f>F18*1/100</f>
        <v>26614.152164880001</v>
      </c>
      <c r="G55" s="120">
        <f>G18*1/100</f>
        <v>26875.075225320001</v>
      </c>
      <c r="H55" s="89"/>
      <c r="I55" s="89"/>
      <c r="J55" s="89"/>
      <c r="K55" s="89"/>
      <c r="L55" s="89"/>
      <c r="M55" s="89"/>
    </row>
    <row r="56" spans="1:13" ht="24" customHeight="1" x14ac:dyDescent="0.3">
      <c r="A56" s="7"/>
      <c r="B56" s="293" t="s">
        <v>408</v>
      </c>
      <c r="C56" s="122">
        <f t="shared" si="0"/>
        <v>1349597.43269064</v>
      </c>
      <c r="D56" s="121">
        <f>D53-D54+D55</f>
        <v>334173.57299999992</v>
      </c>
      <c r="E56" s="121">
        <f>E53-E54+E55</f>
        <v>338407.09567044</v>
      </c>
      <c r="F56" s="121">
        <f>F53-F54+F55</f>
        <v>338474.61989688</v>
      </c>
      <c r="G56" s="121">
        <f>G53-G54+G55</f>
        <v>338542.14412332</v>
      </c>
      <c r="H56" s="89"/>
      <c r="I56" s="89"/>
      <c r="J56" s="89"/>
      <c r="K56" s="89"/>
      <c r="L56" s="89"/>
      <c r="M56" s="89"/>
    </row>
    <row r="57" spans="1:13" s="88" customFormat="1" ht="24" customHeight="1" x14ac:dyDescent="0.3">
      <c r="A57" s="25"/>
      <c r="B57" s="293" t="s">
        <v>409</v>
      </c>
      <c r="C57" s="122">
        <f t="shared" si="0"/>
        <v>3020520.1729213605</v>
      </c>
      <c r="D57" s="122">
        <f>D52-D56</f>
        <v>779602.73679999984</v>
      </c>
      <c r="E57" s="122">
        <f>E52-E56</f>
        <v>761204.60853156005</v>
      </c>
      <c r="F57" s="122">
        <f>F52-F56</f>
        <v>746972.4787071204</v>
      </c>
      <c r="G57" s="122">
        <f>G52-G56</f>
        <v>732740.34888268053</v>
      </c>
    </row>
    <row r="58" spans="1:13" x14ac:dyDescent="0.3">
      <c r="A58" s="11"/>
      <c r="B58" s="300" t="s">
        <v>410</v>
      </c>
      <c r="C58" s="122">
        <f>'1A-Bilant'!D28</f>
        <v>0</v>
      </c>
      <c r="D58" s="121">
        <f>'1A-Bilant'!C28</f>
        <v>14990</v>
      </c>
      <c r="E58" s="121">
        <f>D59</f>
        <v>794592.73679999984</v>
      </c>
      <c r="F58" s="121">
        <f>E59</f>
        <v>1555797.3453315599</v>
      </c>
      <c r="G58" s="121">
        <f>F59</f>
        <v>2302769.8240386802</v>
      </c>
      <c r="H58" s="89"/>
      <c r="I58" s="89"/>
      <c r="J58" s="89"/>
      <c r="K58" s="89"/>
      <c r="L58" s="89"/>
      <c r="M58" s="89"/>
    </row>
    <row r="59" spans="1:13" x14ac:dyDescent="0.3">
      <c r="A59" s="9"/>
      <c r="B59" s="300" t="s">
        <v>411</v>
      </c>
      <c r="C59" s="122"/>
      <c r="D59" s="121">
        <f>D58+D57</f>
        <v>794592.73679999984</v>
      </c>
      <c r="E59" s="121">
        <f>E58+E57</f>
        <v>1555797.3453315599</v>
      </c>
      <c r="F59" s="121">
        <f>F58+F57</f>
        <v>2302769.8240386802</v>
      </c>
      <c r="G59" s="121">
        <f>G58+G57</f>
        <v>3035510.1729213605</v>
      </c>
      <c r="H59" s="89"/>
      <c r="I59" s="89"/>
      <c r="J59" s="89"/>
      <c r="K59" s="89"/>
      <c r="L59" s="89"/>
      <c r="M59" s="89"/>
    </row>
    <row r="60" spans="1:13" s="86" customFormat="1" ht="14.4" customHeight="1" x14ac:dyDescent="0.3">
      <c r="A60" s="381" t="s">
        <v>412</v>
      </c>
      <c r="B60" s="324"/>
      <c r="C60" s="324"/>
      <c r="D60" s="324"/>
      <c r="E60" s="324"/>
      <c r="F60" s="324"/>
      <c r="G60" s="324"/>
    </row>
    <row r="61" spans="1:13" s="86" customFormat="1" ht="14.4" customHeight="1" x14ac:dyDescent="0.3">
      <c r="A61" s="376" t="s">
        <v>359</v>
      </c>
      <c r="B61" s="375"/>
      <c r="C61" s="377" t="s">
        <v>286</v>
      </c>
      <c r="D61" s="378" t="s">
        <v>360</v>
      </c>
      <c r="E61" s="324"/>
      <c r="F61" s="324"/>
      <c r="G61" s="335"/>
    </row>
    <row r="62" spans="1:13" s="86" customFormat="1" ht="27" customHeight="1" x14ac:dyDescent="0.3">
      <c r="A62" s="350"/>
      <c r="B62" s="350"/>
      <c r="C62" s="350"/>
      <c r="D62" s="250" t="s">
        <v>361</v>
      </c>
      <c r="E62" s="296" t="s">
        <v>362</v>
      </c>
      <c r="F62" s="296" t="s">
        <v>363</v>
      </c>
      <c r="G62" s="296" t="s">
        <v>364</v>
      </c>
    </row>
    <row r="63" spans="1:13" s="86" customFormat="1" ht="14.4" customHeight="1" x14ac:dyDescent="0.3">
      <c r="A63" s="369" t="s">
        <v>413</v>
      </c>
      <c r="B63" s="324"/>
      <c r="C63" s="324"/>
      <c r="D63" s="324"/>
      <c r="E63" s="324"/>
      <c r="F63" s="324"/>
      <c r="G63" s="335"/>
    </row>
    <row r="64" spans="1:13" s="86" customFormat="1" ht="14.4" customHeight="1" x14ac:dyDescent="0.3">
      <c r="A64" s="368" t="s">
        <v>366</v>
      </c>
      <c r="B64" s="324"/>
      <c r="C64" s="324"/>
      <c r="D64" s="324"/>
      <c r="E64" s="324"/>
      <c r="F64" s="324"/>
      <c r="G64" s="335"/>
    </row>
    <row r="65" spans="1:9" s="86" customFormat="1" ht="14.4" customHeight="1" x14ac:dyDescent="0.3">
      <c r="A65" s="4">
        <v>1</v>
      </c>
      <c r="B65" s="300" t="s">
        <v>367</v>
      </c>
      <c r="C65" s="122">
        <f>SUM(D65:G65)</f>
        <v>0</v>
      </c>
      <c r="D65" s="121">
        <f>D66*D67</f>
        <v>0</v>
      </c>
      <c r="E65" s="121">
        <f>E66*E67</f>
        <v>0</v>
      </c>
      <c r="F65" s="121">
        <f>F66*F67</f>
        <v>0</v>
      </c>
      <c r="G65" s="121">
        <f>G66*G67</f>
        <v>0</v>
      </c>
    </row>
    <row r="66" spans="1:9" s="87" customFormat="1" ht="14.4" customHeight="1" x14ac:dyDescent="0.3">
      <c r="A66" s="5"/>
      <c r="B66" s="300" t="s">
        <v>368</v>
      </c>
      <c r="C66" s="122"/>
      <c r="D66" s="120">
        <v>0</v>
      </c>
      <c r="E66" s="120">
        <v>0</v>
      </c>
      <c r="F66" s="120">
        <v>0</v>
      </c>
      <c r="G66" s="120">
        <v>0</v>
      </c>
    </row>
    <row r="67" spans="1:9" s="87" customFormat="1" ht="14.4" customHeight="1" x14ac:dyDescent="0.3">
      <c r="A67" s="5"/>
      <c r="B67" s="300" t="s">
        <v>369</v>
      </c>
      <c r="C67" s="122"/>
      <c r="D67" s="120">
        <v>0</v>
      </c>
      <c r="E67" s="120">
        <v>0</v>
      </c>
      <c r="F67" s="120">
        <v>0</v>
      </c>
      <c r="G67" s="120">
        <v>0</v>
      </c>
      <c r="I67" s="223"/>
    </row>
    <row r="68" spans="1:9" s="86" customFormat="1" ht="14.4" customHeight="1" x14ac:dyDescent="0.3">
      <c r="A68" s="4">
        <v>2</v>
      </c>
      <c r="B68" s="300" t="s">
        <v>370</v>
      </c>
      <c r="C68" s="122">
        <f>SUM(D68:G68)</f>
        <v>0</v>
      </c>
      <c r="D68" s="121">
        <f>D69*D70</f>
        <v>0</v>
      </c>
      <c r="E68" s="121">
        <f>E69*E70</f>
        <v>0</v>
      </c>
      <c r="F68" s="121">
        <f>F69*F70</f>
        <v>0</v>
      </c>
      <c r="G68" s="121">
        <f>G69*G70</f>
        <v>0</v>
      </c>
    </row>
    <row r="69" spans="1:9" s="87" customFormat="1" ht="14.4" customHeight="1" x14ac:dyDescent="0.3">
      <c r="A69" s="5"/>
      <c r="B69" s="300" t="s">
        <v>371</v>
      </c>
      <c r="C69" s="122"/>
      <c r="D69" s="120">
        <v>1</v>
      </c>
      <c r="E69" s="120">
        <v>1</v>
      </c>
      <c r="F69" s="120">
        <v>1</v>
      </c>
      <c r="G69" s="120">
        <v>1</v>
      </c>
    </row>
    <row r="70" spans="1:9" s="87" customFormat="1" ht="14.4" customHeight="1" x14ac:dyDescent="0.3">
      <c r="A70" s="5"/>
      <c r="B70" s="300" t="s">
        <v>372</v>
      </c>
      <c r="C70" s="122"/>
      <c r="D70" s="120">
        <v>0</v>
      </c>
      <c r="E70" s="120">
        <v>0</v>
      </c>
      <c r="F70" s="120">
        <f>E70*1.02</f>
        <v>0</v>
      </c>
      <c r="G70" s="120">
        <f>F70*1.03</f>
        <v>0</v>
      </c>
    </row>
    <row r="71" spans="1:9" s="86" customFormat="1" ht="14.4" customHeight="1" x14ac:dyDescent="0.3">
      <c r="A71" s="4">
        <v>3</v>
      </c>
      <c r="B71" s="300" t="s">
        <v>373</v>
      </c>
      <c r="C71" s="122">
        <f>SUM(D71:G71)</f>
        <v>11365808.512766398</v>
      </c>
      <c r="D71" s="121">
        <f>D72*D73</f>
        <v>2609230.6043999996</v>
      </c>
      <c r="E71" s="121">
        <f>E72*E73</f>
        <v>2854498.2812135997</v>
      </c>
      <c r="F71" s="121">
        <f>F72*F73</f>
        <v>2922338.2769279992</v>
      </c>
      <c r="G71" s="121">
        <f>G72*G73</f>
        <v>2979741.350224799</v>
      </c>
    </row>
    <row r="72" spans="1:9" s="87" customFormat="1" ht="14.4" customHeight="1" x14ac:dyDescent="0.3">
      <c r="A72" s="5"/>
      <c r="B72" s="300" t="s">
        <v>374</v>
      </c>
      <c r="C72" s="122"/>
      <c r="D72" s="120">
        <v>1</v>
      </c>
      <c r="E72" s="120">
        <v>1</v>
      </c>
      <c r="F72" s="120">
        <v>1</v>
      </c>
      <c r="G72" s="120">
        <v>1</v>
      </c>
    </row>
    <row r="73" spans="1:9" s="87" customFormat="1" ht="14.4" customHeight="1" x14ac:dyDescent="0.3">
      <c r="A73" s="5"/>
      <c r="B73" s="300" t="s">
        <v>375</v>
      </c>
      <c r="C73" s="122"/>
      <c r="D73" s="120">
        <f>D17</f>
        <v>2609230.6043999996</v>
      </c>
      <c r="E73" s="120">
        <f>D73*0.094+ D73</f>
        <v>2854498.2812135997</v>
      </c>
      <c r="F73" s="120">
        <f>D73*0.0259999999999999+ E73</f>
        <v>2922338.2769279992</v>
      </c>
      <c r="G73" s="120">
        <f>D73*0.022+ F73</f>
        <v>2979741.350224799</v>
      </c>
    </row>
    <row r="74" spans="1:9" s="88" customFormat="1" ht="24" customHeight="1" x14ac:dyDescent="0.3">
      <c r="A74" s="137"/>
      <c r="B74" s="293" t="s">
        <v>414</v>
      </c>
      <c r="C74" s="122">
        <f>SUM(D74:G74)</f>
        <v>11365808.512766398</v>
      </c>
      <c r="D74" s="122">
        <f>D65+D68+D71</f>
        <v>2609230.6043999996</v>
      </c>
      <c r="E74" s="122">
        <f>E65+E68+E71</f>
        <v>2854498.2812135997</v>
      </c>
      <c r="F74" s="122">
        <f>F65+F68+F71</f>
        <v>2922338.2769279992</v>
      </c>
      <c r="G74" s="122">
        <f>G65+G68+G71</f>
        <v>2979741.350224799</v>
      </c>
    </row>
    <row r="75" spans="1:9" s="88" customFormat="1" ht="14.4" customHeight="1" x14ac:dyDescent="0.3">
      <c r="A75" s="369" t="s">
        <v>415</v>
      </c>
      <c r="B75" s="324"/>
      <c r="C75" s="324"/>
      <c r="D75" s="324"/>
      <c r="E75" s="324"/>
      <c r="F75" s="324"/>
      <c r="G75" s="335"/>
    </row>
    <row r="76" spans="1:9" s="88" customFormat="1" ht="14.4" customHeight="1" x14ac:dyDescent="0.3">
      <c r="A76" s="368" t="s">
        <v>378</v>
      </c>
      <c r="B76" s="324"/>
      <c r="C76" s="324"/>
      <c r="D76" s="324"/>
      <c r="E76" s="324"/>
      <c r="F76" s="324"/>
      <c r="G76" s="335"/>
    </row>
    <row r="77" spans="1:9" s="86" customFormat="1" ht="24" customHeight="1" x14ac:dyDescent="0.3">
      <c r="A77" s="4">
        <v>5</v>
      </c>
      <c r="B77" s="6" t="s">
        <v>379</v>
      </c>
      <c r="C77" s="122">
        <f>SUM(D77:G77)</f>
        <v>557681.19897000003</v>
      </c>
      <c r="D77" s="121">
        <f>SUM(D78*D79)+SUM(D80*D81)</f>
        <v>134381.01180000001</v>
      </c>
      <c r="E77" s="121">
        <f>SUM(E78*E79)+SUM(E80*E81)</f>
        <v>137068.632036</v>
      </c>
      <c r="F77" s="121">
        <f>SUM(F78*F79)+SUM(F80*F81)</f>
        <v>141100.06239000001</v>
      </c>
      <c r="G77" s="121">
        <f>SUM(G78*G79)+SUM(G80*G81)</f>
        <v>145131.49274400002</v>
      </c>
    </row>
    <row r="78" spans="1:9" s="88" customFormat="1" ht="14.4" customHeight="1" x14ac:dyDescent="0.3">
      <c r="A78" s="4"/>
      <c r="B78" s="300" t="s">
        <v>380</v>
      </c>
      <c r="C78" s="122"/>
      <c r="D78" s="120">
        <v>1</v>
      </c>
      <c r="E78" s="120">
        <v>1</v>
      </c>
      <c r="F78" s="120">
        <v>1</v>
      </c>
      <c r="G78" s="120">
        <v>1</v>
      </c>
    </row>
    <row r="79" spans="1:9" s="88" customFormat="1" ht="14.4" customHeight="1" x14ac:dyDescent="0.3">
      <c r="A79" s="4"/>
      <c r="B79" s="300" t="s">
        <v>381</v>
      </c>
      <c r="C79" s="122"/>
      <c r="D79" s="120">
        <f>D23</f>
        <v>134381.01180000001</v>
      </c>
      <c r="E79" s="120">
        <f>D79*0.02 + D79</f>
        <v>137068.632036</v>
      </c>
      <c r="F79" s="120">
        <f>D79*0.03 +E79</f>
        <v>141100.06239000001</v>
      </c>
      <c r="G79" s="120">
        <f>D79*0.03 +F79</f>
        <v>145131.49274400002</v>
      </c>
    </row>
    <row r="80" spans="1:9" s="88" customFormat="1" ht="14.4" customHeight="1" x14ac:dyDescent="0.3">
      <c r="A80" s="4"/>
      <c r="B80" s="300" t="s">
        <v>382</v>
      </c>
      <c r="C80" s="122"/>
      <c r="D80" s="120">
        <v>1</v>
      </c>
      <c r="E80" s="120">
        <v>1</v>
      </c>
      <c r="F80" s="120">
        <v>1</v>
      </c>
      <c r="G80" s="120">
        <v>1</v>
      </c>
    </row>
    <row r="81" spans="1:7" s="88" customFormat="1" ht="14.4" customHeight="1" x14ac:dyDescent="0.3">
      <c r="A81" s="4"/>
      <c r="B81" s="300" t="s">
        <v>383</v>
      </c>
      <c r="C81" s="122"/>
      <c r="D81" s="120">
        <f>'1B-ContPP'!D14*1.19*1.1</f>
        <v>0</v>
      </c>
      <c r="E81" s="120">
        <f>D81*1.05</f>
        <v>0</v>
      </c>
      <c r="F81" s="120">
        <f>E81*1.05</f>
        <v>0</v>
      </c>
      <c r="G81" s="120">
        <f>F81*1.05</f>
        <v>0</v>
      </c>
    </row>
    <row r="82" spans="1:7" s="86" customFormat="1" ht="14.4" customHeight="1" x14ac:dyDescent="0.3">
      <c r="A82" s="4">
        <v>6</v>
      </c>
      <c r="B82" s="6" t="s">
        <v>384</v>
      </c>
      <c r="C82" s="122">
        <f>SUM(D82:G82)</f>
        <v>2603089.868819999</v>
      </c>
      <c r="D82" s="121">
        <f>D83*D84</f>
        <v>627250.57079999987</v>
      </c>
      <c r="E82" s="121">
        <f>E83*E84</f>
        <v>639795.58221599984</v>
      </c>
      <c r="F82" s="121">
        <f>F83*F84</f>
        <v>661749.3521939998</v>
      </c>
      <c r="G82" s="121">
        <f>G83*G84</f>
        <v>674294.36360999977</v>
      </c>
    </row>
    <row r="83" spans="1:7" s="88" customFormat="1" ht="14.4" customHeight="1" x14ac:dyDescent="0.3">
      <c r="A83" s="4"/>
      <c r="B83" s="300" t="s">
        <v>374</v>
      </c>
      <c r="C83" s="122"/>
      <c r="D83" s="120">
        <v>1</v>
      </c>
      <c r="E83" s="120">
        <v>1</v>
      </c>
      <c r="F83" s="120">
        <v>1</v>
      </c>
      <c r="G83" s="120">
        <v>1</v>
      </c>
    </row>
    <row r="84" spans="1:7" s="88" customFormat="1" ht="14.4" customHeight="1" x14ac:dyDescent="0.3">
      <c r="A84" s="4"/>
      <c r="B84" s="300" t="s">
        <v>385</v>
      </c>
      <c r="C84" s="122"/>
      <c r="D84" s="120">
        <f>D28</f>
        <v>627250.57079999987</v>
      </c>
      <c r="E84" s="120">
        <f>D84*0.02+ D84</f>
        <v>639795.58221599984</v>
      </c>
      <c r="F84" s="120">
        <f>D84*0.0349999999999999+E84</f>
        <v>661749.3521939998</v>
      </c>
      <c r="G84" s="120">
        <f>D84*0.02+F84</f>
        <v>674294.36360999977</v>
      </c>
    </row>
    <row r="85" spans="1:7" s="88" customFormat="1" ht="24" customHeight="1" x14ac:dyDescent="0.3">
      <c r="A85" s="4">
        <v>7</v>
      </c>
      <c r="B85" s="300" t="s">
        <v>386</v>
      </c>
      <c r="C85" s="122">
        <f>SUM(D85:G85)</f>
        <v>364546.22316000005</v>
      </c>
      <c r="D85" s="120">
        <f>'1B-ContPP'!C15*0.05*1.19 + '1B-ContPP'!C15*1.19</f>
        <v>88482.093000000008</v>
      </c>
      <c r="E85" s="120">
        <f>D85*0.02 + D85</f>
        <v>90251.734860000011</v>
      </c>
      <c r="F85" s="120">
        <f>D85*0.02 + E85</f>
        <v>92021.376720000015</v>
      </c>
      <c r="G85" s="120">
        <f>D85*0.02 +F85</f>
        <v>93791.018580000018</v>
      </c>
    </row>
    <row r="86" spans="1:7" s="88" customFormat="1" ht="14.4" customHeight="1" x14ac:dyDescent="0.3">
      <c r="A86" s="4">
        <v>8</v>
      </c>
      <c r="B86" s="300" t="s">
        <v>387</v>
      </c>
      <c r="C86" s="122">
        <f>SUM(D86:G86)</f>
        <v>162455.43848800001</v>
      </c>
      <c r="D86" s="121">
        <f>D87*D88</f>
        <v>40013.654799999997</v>
      </c>
      <c r="E86" s="121">
        <f>E87*E88</f>
        <v>40413.791347999999</v>
      </c>
      <c r="F86" s="121">
        <f>F87*F88</f>
        <v>40813.927896000001</v>
      </c>
      <c r="G86" s="121">
        <f>G87*G88</f>
        <v>41214.064444000003</v>
      </c>
    </row>
    <row r="87" spans="1:7" s="88" customFormat="1" ht="24" customHeight="1" x14ac:dyDescent="0.3">
      <c r="A87" s="4"/>
      <c r="B87" s="300" t="s">
        <v>388</v>
      </c>
      <c r="C87" s="122"/>
      <c r="D87" s="120">
        <v>1</v>
      </c>
      <c r="E87" s="120">
        <v>1</v>
      </c>
      <c r="F87" s="120">
        <v>1</v>
      </c>
      <c r="G87" s="120">
        <v>1</v>
      </c>
    </row>
    <row r="88" spans="1:7" s="88" customFormat="1" ht="14.4" customHeight="1" x14ac:dyDescent="0.3">
      <c r="A88" s="4"/>
      <c r="B88" s="300" t="s">
        <v>389</v>
      </c>
      <c r="C88" s="122"/>
      <c r="D88" s="120">
        <f>D32</f>
        <v>40013.654799999997</v>
      </c>
      <c r="E88" s="120">
        <f>D88*0.01 +D88</f>
        <v>40413.791347999999</v>
      </c>
      <c r="F88" s="120">
        <f>D88*0.01 + E88</f>
        <v>40813.927896000001</v>
      </c>
      <c r="G88" s="120">
        <f>D88*0.01 +F88</f>
        <v>41214.064444000003</v>
      </c>
    </row>
    <row r="89" spans="1:7" s="88" customFormat="1" ht="14.4" customHeight="1" x14ac:dyDescent="0.3">
      <c r="A89" s="4">
        <v>9</v>
      </c>
      <c r="B89" s="300" t="s">
        <v>390</v>
      </c>
      <c r="C89" s="122">
        <f>SUM(D89:G89)</f>
        <v>0</v>
      </c>
      <c r="D89" s="121">
        <f>D90*D91</f>
        <v>0</v>
      </c>
      <c r="E89" s="121">
        <f>E90*E91</f>
        <v>0</v>
      </c>
      <c r="F89" s="121">
        <f>F90*F91</f>
        <v>0</v>
      </c>
      <c r="G89" s="121">
        <f>G90*G91</f>
        <v>0</v>
      </c>
    </row>
    <row r="90" spans="1:7" s="88" customFormat="1" ht="24" customHeight="1" x14ac:dyDescent="0.3">
      <c r="A90" s="4"/>
      <c r="B90" s="300" t="s">
        <v>388</v>
      </c>
      <c r="C90" s="122"/>
      <c r="D90" s="120">
        <v>0</v>
      </c>
      <c r="E90" s="120">
        <v>0</v>
      </c>
      <c r="F90" s="120">
        <v>0</v>
      </c>
      <c r="G90" s="120">
        <v>0</v>
      </c>
    </row>
    <row r="91" spans="1:7" s="88" customFormat="1" ht="14.4" customHeight="1" x14ac:dyDescent="0.3">
      <c r="A91" s="4"/>
      <c r="B91" s="300" t="s">
        <v>389</v>
      </c>
      <c r="C91" s="122"/>
      <c r="D91" s="120">
        <v>0</v>
      </c>
      <c r="E91" s="120">
        <v>0</v>
      </c>
      <c r="F91" s="120">
        <v>0</v>
      </c>
      <c r="G91" s="120">
        <v>0</v>
      </c>
    </row>
    <row r="92" spans="1:7" s="88" customFormat="1" ht="14.4" customHeight="1" x14ac:dyDescent="0.3">
      <c r="A92" s="4">
        <v>10</v>
      </c>
      <c r="B92" s="300" t="s">
        <v>391</v>
      </c>
      <c r="C92" s="122">
        <f>SUM(D92:G92)</f>
        <v>0</v>
      </c>
      <c r="D92" s="121">
        <f>D93*D94</f>
        <v>0</v>
      </c>
      <c r="E92" s="121">
        <f>E93*E94</f>
        <v>0</v>
      </c>
      <c r="F92" s="121">
        <f>F93*F94</f>
        <v>0</v>
      </c>
      <c r="G92" s="121">
        <f>G93*G94</f>
        <v>0</v>
      </c>
    </row>
    <row r="93" spans="1:7" s="88" customFormat="1" ht="24" customHeight="1" x14ac:dyDescent="0.3">
      <c r="A93" s="4"/>
      <c r="B93" s="300" t="s">
        <v>388</v>
      </c>
      <c r="C93" s="122"/>
      <c r="D93" s="120">
        <v>0</v>
      </c>
      <c r="E93" s="120">
        <v>0</v>
      </c>
      <c r="F93" s="120">
        <v>0</v>
      </c>
      <c r="G93" s="120">
        <v>0</v>
      </c>
    </row>
    <row r="94" spans="1:7" s="88" customFormat="1" ht="14.4" customHeight="1" x14ac:dyDescent="0.3">
      <c r="A94" s="4"/>
      <c r="B94" s="300" t="s">
        <v>389</v>
      </c>
      <c r="C94" s="122"/>
      <c r="D94" s="120">
        <v>0</v>
      </c>
      <c r="E94" s="120">
        <v>0</v>
      </c>
      <c r="F94" s="120">
        <v>0</v>
      </c>
      <c r="G94" s="120">
        <v>0</v>
      </c>
    </row>
    <row r="95" spans="1:7" s="86" customFormat="1" ht="14.4" customHeight="1" x14ac:dyDescent="0.3">
      <c r="A95" s="4"/>
      <c r="B95" s="293" t="s">
        <v>392</v>
      </c>
      <c r="C95" s="122">
        <f>SUM(D95:G95)</f>
        <v>3687772.7294379994</v>
      </c>
      <c r="D95" s="122">
        <f>D77+D82+D85+D86+D89+D92</f>
        <v>890127.33039999986</v>
      </c>
      <c r="E95" s="122">
        <f>E77+E82+E85+E86+E89+E92</f>
        <v>907529.74045999977</v>
      </c>
      <c r="F95" s="122">
        <f>F77+F82+F85+F86+F89+F92</f>
        <v>935684.71919999982</v>
      </c>
      <c r="G95" s="122">
        <f>G77+G82+G85+G86+G89+G92</f>
        <v>954430.93937799986</v>
      </c>
    </row>
    <row r="96" spans="1:7" s="86" customFormat="1" ht="14.4" customHeight="1" x14ac:dyDescent="0.3">
      <c r="A96" s="4">
        <v>11</v>
      </c>
      <c r="B96" s="300" t="s">
        <v>393</v>
      </c>
      <c r="C96" s="122">
        <f>SUM(D96:G96)</f>
        <v>781871.20000000019</v>
      </c>
      <c r="D96" s="122">
        <f>SUM(D97*D98)*D99</f>
        <v>169972</v>
      </c>
      <c r="E96" s="122">
        <f>SUM(E97*E98)*E99</f>
        <v>186969.2</v>
      </c>
      <c r="F96" s="122">
        <f>SUM(F97*F98)*F99</f>
        <v>203966.40000000002</v>
      </c>
      <c r="G96" s="122">
        <f>SUM(G97*G98)*G99</f>
        <v>220963.60000000003</v>
      </c>
    </row>
    <row r="97" spans="1:7" s="86" customFormat="1" ht="14.4" customHeight="1" x14ac:dyDescent="0.3">
      <c r="A97" s="4"/>
      <c r="B97" s="300" t="s">
        <v>394</v>
      </c>
      <c r="C97" s="122"/>
      <c r="D97" s="120">
        <v>1</v>
      </c>
      <c r="E97" s="120">
        <v>1</v>
      </c>
      <c r="F97" s="120">
        <v>1</v>
      </c>
      <c r="G97" s="120">
        <v>1</v>
      </c>
    </row>
    <row r="98" spans="1:7" s="86" customFormat="1" ht="14.4" customHeight="1" x14ac:dyDescent="0.3">
      <c r="A98" s="4"/>
      <c r="B98" s="300" t="s">
        <v>395</v>
      </c>
      <c r="C98" s="122"/>
      <c r="D98" s="120">
        <f>'1B-ContPP'!C19</f>
        <v>169972</v>
      </c>
      <c r="E98" s="120">
        <f>D98*0.1 + D98</f>
        <v>186969.2</v>
      </c>
      <c r="F98" s="120">
        <f>D98*0.1 + E98</f>
        <v>203966.40000000002</v>
      </c>
      <c r="G98" s="120">
        <f>D98*0.1 + F98</f>
        <v>220963.60000000003</v>
      </c>
    </row>
    <row r="99" spans="1:7" s="86" customFormat="1" ht="14.4" customHeight="1" x14ac:dyDescent="0.3">
      <c r="A99" s="4"/>
      <c r="B99" s="300" t="s">
        <v>396</v>
      </c>
      <c r="C99" s="122"/>
      <c r="D99" s="120">
        <v>1</v>
      </c>
      <c r="E99" s="120">
        <v>1</v>
      </c>
      <c r="F99" s="120">
        <v>1</v>
      </c>
      <c r="G99" s="120">
        <v>1</v>
      </c>
    </row>
    <row r="100" spans="1:7" s="86" customFormat="1" ht="14.4" customHeight="1" x14ac:dyDescent="0.3">
      <c r="A100" s="7">
        <v>12</v>
      </c>
      <c r="B100" s="6" t="s">
        <v>397</v>
      </c>
      <c r="C100" s="122"/>
      <c r="D100" s="120">
        <f>D96*2.25%</f>
        <v>3824.37</v>
      </c>
      <c r="E100" s="120">
        <f>E96*2.25%</f>
        <v>4206.8069999999998</v>
      </c>
      <c r="F100" s="120">
        <f>F96*2.25%</f>
        <v>4589.2440000000006</v>
      </c>
      <c r="G100" s="120">
        <f>G96*2.25%</f>
        <v>4971.6810000000005</v>
      </c>
    </row>
    <row r="101" spans="1:7" s="88" customFormat="1" ht="14.4" customHeight="1" x14ac:dyDescent="0.3">
      <c r="A101" s="4"/>
      <c r="B101" s="293" t="s">
        <v>398</v>
      </c>
      <c r="C101" s="122">
        <f>SUM(D101:G101)</f>
        <v>799463.30200000003</v>
      </c>
      <c r="D101" s="200">
        <f>D100+D96</f>
        <v>173796.37</v>
      </c>
      <c r="E101" s="200">
        <f>E100+E96</f>
        <v>191176.00700000001</v>
      </c>
      <c r="F101" s="200">
        <f>F100+F96</f>
        <v>208555.64400000003</v>
      </c>
      <c r="G101" s="200">
        <f>G100+G96</f>
        <v>225935.28100000005</v>
      </c>
    </row>
    <row r="102" spans="1:7" s="88" customFormat="1" ht="36" customHeight="1" x14ac:dyDescent="0.3">
      <c r="A102" s="4">
        <v>13</v>
      </c>
      <c r="B102" s="6" t="s">
        <v>399</v>
      </c>
      <c r="C102" s="122">
        <f>SUM(D102:G102)</f>
        <v>2298204.3504000003</v>
      </c>
      <c r="D102" s="161">
        <f>'1B-ContPP'!C22*1.19*0.05 +'1B-ContPP'!C22*1.19</f>
        <v>534466.12800000003</v>
      </c>
      <c r="E102" s="161">
        <f>D102*0.05 + D102</f>
        <v>561189.43440000003</v>
      </c>
      <c r="F102" s="161">
        <f>D102*0.05 + E102</f>
        <v>587912.74080000003</v>
      </c>
      <c r="G102" s="161">
        <f>D102*0.05 +F102</f>
        <v>614636.04720000003</v>
      </c>
    </row>
    <row r="103" spans="1:7" s="88" customFormat="1" ht="24" customHeight="1" x14ac:dyDescent="0.3">
      <c r="A103" s="4"/>
      <c r="B103" s="300" t="s">
        <v>416</v>
      </c>
      <c r="C103" s="122">
        <f>SUM(D103:G103)</f>
        <v>0</v>
      </c>
      <c r="D103" s="200">
        <f>D104*D105</f>
        <v>0</v>
      </c>
      <c r="E103" s="200">
        <f>E104*E105</f>
        <v>0</v>
      </c>
      <c r="F103" s="200">
        <f>F104*F105</f>
        <v>0</v>
      </c>
      <c r="G103" s="200">
        <f>G104*G105</f>
        <v>0</v>
      </c>
    </row>
    <row r="104" spans="1:7" s="88" customFormat="1" ht="14.4" customHeight="1" x14ac:dyDescent="0.3">
      <c r="A104" s="4"/>
      <c r="B104" s="300" t="s">
        <v>401</v>
      </c>
      <c r="C104" s="122"/>
      <c r="D104" s="161">
        <v>1</v>
      </c>
      <c r="E104" s="161">
        <v>1</v>
      </c>
      <c r="F104" s="161">
        <v>1</v>
      </c>
      <c r="G104" s="161">
        <v>1</v>
      </c>
    </row>
    <row r="105" spans="1:7" s="88" customFormat="1" ht="14.4" customHeight="1" x14ac:dyDescent="0.3">
      <c r="A105" s="4"/>
      <c r="B105" s="300" t="s">
        <v>372</v>
      </c>
      <c r="C105" s="122"/>
      <c r="D105" s="161">
        <v>0</v>
      </c>
      <c r="E105" s="161">
        <f>D105*1.02</f>
        <v>0</v>
      </c>
      <c r="F105" s="161">
        <f>E105*1.03</f>
        <v>0</v>
      </c>
      <c r="G105" s="161">
        <f>F105*1.04</f>
        <v>0</v>
      </c>
    </row>
    <row r="106" spans="1:7" s="89" customFormat="1" ht="36" customHeight="1" x14ac:dyDescent="0.3">
      <c r="A106" s="7">
        <v>14</v>
      </c>
      <c r="B106" s="293" t="s">
        <v>402</v>
      </c>
      <c r="C106" s="122">
        <f t="shared" ref="C106:C113" si="1">SUM(D106:G106)</f>
        <v>3366.1224000000002</v>
      </c>
      <c r="D106" s="161">
        <f>'1B-ContPP'!C36*0.02 + '1B-ContPP'!C36</f>
        <v>817.02</v>
      </c>
      <c r="E106" s="161">
        <f>D106*0.02 + D106</f>
        <v>833.36040000000003</v>
      </c>
      <c r="F106" s="161">
        <f>D106*0.02 +E106</f>
        <v>849.70080000000007</v>
      </c>
      <c r="G106" s="161">
        <f>D106*0.02 +F106</f>
        <v>866.04120000000012</v>
      </c>
    </row>
    <row r="107" spans="1:7" s="89" customFormat="1" ht="24" customHeight="1" x14ac:dyDescent="0.3">
      <c r="A107" s="7"/>
      <c r="B107" s="293" t="s">
        <v>417</v>
      </c>
      <c r="C107" s="122">
        <f t="shared" si="1"/>
        <v>6788806.5042380001</v>
      </c>
      <c r="D107" s="121">
        <f>D95+D101+D102+D106</f>
        <v>1599206.8484</v>
      </c>
      <c r="E107" s="121">
        <f>E95+E101+E102+E106</f>
        <v>1660728.5422599998</v>
      </c>
      <c r="F107" s="121">
        <f>F95+F101+F102+F106</f>
        <v>1733002.8047999998</v>
      </c>
      <c r="G107" s="121">
        <f>G95+G101+G102+G106</f>
        <v>1795868.3087779998</v>
      </c>
    </row>
    <row r="108" spans="1:7" s="89" customFormat="1" ht="24" customHeight="1" x14ac:dyDescent="0.3">
      <c r="A108" s="7"/>
      <c r="B108" s="293" t="s">
        <v>418</v>
      </c>
      <c r="C108" s="122">
        <f t="shared" si="1"/>
        <v>4577002.0085283983</v>
      </c>
      <c r="D108" s="121">
        <f>D74-D107</f>
        <v>1010023.7559999996</v>
      </c>
      <c r="E108" s="121">
        <f>E74-E107</f>
        <v>1193769.7389535999</v>
      </c>
      <c r="F108" s="121">
        <f>F74-F107</f>
        <v>1189335.4721279994</v>
      </c>
      <c r="G108" s="121">
        <f>G74-G107</f>
        <v>1183873.0414467992</v>
      </c>
    </row>
    <row r="109" spans="1:7" s="89" customFormat="1" x14ac:dyDescent="0.3">
      <c r="A109" s="7">
        <v>15</v>
      </c>
      <c r="B109" s="8" t="s">
        <v>405</v>
      </c>
      <c r="C109" s="122">
        <f t="shared" si="1"/>
        <v>1543834.6388063994</v>
      </c>
      <c r="D109" s="120">
        <f>D74*0.19/1.19 -(D81+D85+D102)*0.19/1.19</f>
        <v>317137.52339999995</v>
      </c>
      <c r="E109" s="120">
        <f>E74*0.19/1.19 -(E81+E85+E102)*0.1/1.19</f>
        <v>401017.27437359991</v>
      </c>
      <c r="F109" s="120">
        <f>F74*0.19/1.19 -(F81+F85+F102)*0.1/1.19</f>
        <v>409454.50492799981</v>
      </c>
      <c r="G109" s="120">
        <f>G74*0.19/1.19 -(G81+G85+G102)*0.1/1.19</f>
        <v>416225.33610479988</v>
      </c>
    </row>
    <row r="110" spans="1:7" s="89" customFormat="1" x14ac:dyDescent="0.3">
      <c r="A110" s="7">
        <v>16</v>
      </c>
      <c r="B110" s="8" t="s">
        <v>406</v>
      </c>
      <c r="C110" s="122">
        <f t="shared" si="1"/>
        <v>0</v>
      </c>
      <c r="D110" s="120"/>
      <c r="E110" s="120">
        <v>0</v>
      </c>
      <c r="F110" s="120">
        <v>0</v>
      </c>
      <c r="G110" s="120">
        <v>0</v>
      </c>
    </row>
    <row r="111" spans="1:7" s="89" customFormat="1" x14ac:dyDescent="0.3">
      <c r="A111" s="7">
        <v>17</v>
      </c>
      <c r="B111" s="8" t="s">
        <v>407</v>
      </c>
      <c r="C111" s="122">
        <f t="shared" si="1"/>
        <v>95510.995905599979</v>
      </c>
      <c r="D111" s="120">
        <f>(D74/1.19) *(1/100)</f>
        <v>21926.307599999996</v>
      </c>
      <c r="E111" s="120">
        <f>(E74/1.19)*(1/100)</f>
        <v>23987.3805144</v>
      </c>
      <c r="F111" s="120">
        <f>(F74/1.19)*(1/100)</f>
        <v>24557.464511999995</v>
      </c>
      <c r="G111" s="120">
        <f>(G74/1.19)*(1/100)</f>
        <v>25039.843279199991</v>
      </c>
    </row>
    <row r="112" spans="1:7" s="89" customFormat="1" ht="24" customHeight="1" x14ac:dyDescent="0.3">
      <c r="A112" s="7"/>
      <c r="B112" s="293" t="s">
        <v>419</v>
      </c>
      <c r="C112" s="122">
        <f t="shared" si="1"/>
        <v>1639345.6347119997</v>
      </c>
      <c r="D112" s="121">
        <f>D109-D110+D111</f>
        <v>339063.83099999995</v>
      </c>
      <c r="E112" s="121">
        <f>E109-E110+E111</f>
        <v>425004.65488799993</v>
      </c>
      <c r="F112" s="121">
        <f>F109-F110+F111</f>
        <v>434011.96943999978</v>
      </c>
      <c r="G112" s="121">
        <f>G109-G110+G111</f>
        <v>441265.17938399984</v>
      </c>
    </row>
    <row r="113" spans="1:13" s="88" customFormat="1" ht="24" customHeight="1" x14ac:dyDescent="0.3">
      <c r="A113" s="25"/>
      <c r="B113" s="293" t="s">
        <v>420</v>
      </c>
      <c r="C113" s="122">
        <f t="shared" si="1"/>
        <v>2937656.3738163984</v>
      </c>
      <c r="D113" s="122">
        <f>D108-D112</f>
        <v>670959.92499999958</v>
      </c>
      <c r="E113" s="122">
        <f>E108-E112</f>
        <v>768765.08406560007</v>
      </c>
      <c r="F113" s="122">
        <f>F108-F112</f>
        <v>755323.50268799963</v>
      </c>
      <c r="G113" s="122">
        <f>G108-G112</f>
        <v>742607.86206279928</v>
      </c>
    </row>
    <row r="114" spans="1:13" s="88" customFormat="1" ht="14.4" customHeight="1" x14ac:dyDescent="0.3">
      <c r="A114" s="10"/>
      <c r="B114" s="133"/>
      <c r="C114" s="298"/>
      <c r="D114" s="298"/>
      <c r="E114" s="298"/>
      <c r="F114" s="298"/>
      <c r="G114" s="298"/>
      <c r="H114" s="298"/>
      <c r="I114" s="298"/>
      <c r="J114" s="298"/>
      <c r="K114" s="298"/>
      <c r="L114" s="298"/>
      <c r="M114" s="298"/>
    </row>
    <row r="115" spans="1:13" s="295" customFormat="1" ht="13.2" customHeight="1" x14ac:dyDescent="0.3">
      <c r="A115" s="384" t="s">
        <v>421</v>
      </c>
      <c r="B115" s="385"/>
      <c r="C115" s="385"/>
      <c r="D115" s="385"/>
      <c r="E115" s="385"/>
      <c r="F115" s="385"/>
      <c r="G115" s="385"/>
      <c r="H115" s="138"/>
      <c r="I115" s="138"/>
      <c r="J115" s="138"/>
      <c r="K115" s="138"/>
      <c r="L115" s="138"/>
      <c r="M115" s="138"/>
    </row>
    <row r="116" spans="1:13" ht="36" customHeight="1" x14ac:dyDescent="0.3">
      <c r="A116" s="251" t="s">
        <v>422</v>
      </c>
      <c r="B116" s="139"/>
      <c r="C116" s="162" t="s">
        <v>286</v>
      </c>
      <c r="D116" s="250" t="s">
        <v>361</v>
      </c>
      <c r="E116" s="138"/>
      <c r="F116" s="138"/>
      <c r="G116" s="138"/>
      <c r="H116" s="138"/>
      <c r="I116" s="138"/>
      <c r="J116" s="138"/>
      <c r="K116" s="89"/>
      <c r="L116" s="89"/>
      <c r="M116" s="89"/>
    </row>
    <row r="117" spans="1:13" ht="24" customHeight="1" x14ac:dyDescent="0.3">
      <c r="A117" s="11">
        <v>19</v>
      </c>
      <c r="B117" s="8" t="s">
        <v>423</v>
      </c>
      <c r="C117" s="122">
        <f>SUM(D117:D117)</f>
        <v>0</v>
      </c>
      <c r="D117" s="121">
        <f>'2B-Investitie'!E27</f>
        <v>0</v>
      </c>
      <c r="K117" s="89"/>
      <c r="L117" s="89"/>
      <c r="M117" s="89"/>
    </row>
    <row r="118" spans="1:13" x14ac:dyDescent="0.3">
      <c r="A118" s="11">
        <v>20</v>
      </c>
      <c r="B118" s="8" t="s">
        <v>424</v>
      </c>
      <c r="C118" s="122">
        <f>SUM(D118:D118)</f>
        <v>0</v>
      </c>
      <c r="D118" s="121">
        <f>'2B-Investitie'!E28</f>
        <v>0</v>
      </c>
      <c r="K118" s="89"/>
      <c r="L118" s="89"/>
      <c r="M118" s="89"/>
    </row>
    <row r="119" spans="1:13" x14ac:dyDescent="0.3">
      <c r="A119" s="11">
        <v>21</v>
      </c>
      <c r="B119" s="8" t="s">
        <v>425</v>
      </c>
      <c r="C119" s="122">
        <f>SUM(D119:D119)</f>
        <v>261899.68</v>
      </c>
      <c r="D119" s="121">
        <f>'2B-Investitie'!E29</f>
        <v>261899.68</v>
      </c>
      <c r="K119" s="89"/>
      <c r="L119" s="89"/>
      <c r="M119" s="89"/>
    </row>
    <row r="120" spans="1:13" s="295" customFormat="1" ht="24" customHeight="1" x14ac:dyDescent="0.3">
      <c r="A120" s="134"/>
      <c r="B120" s="135" t="s">
        <v>426</v>
      </c>
      <c r="C120" s="136">
        <f>SUM(D120:D120)</f>
        <v>261899.68</v>
      </c>
      <c r="D120" s="136">
        <f>SUM(D117:D119)</f>
        <v>261899.68</v>
      </c>
      <c r="E120" s="298"/>
      <c r="F120" s="298"/>
      <c r="G120" s="298"/>
      <c r="H120" s="298"/>
      <c r="I120" s="298"/>
      <c r="J120" s="298"/>
    </row>
    <row r="121" spans="1:13" ht="36" customHeight="1" x14ac:dyDescent="0.3">
      <c r="A121" s="139" t="s">
        <v>427</v>
      </c>
      <c r="B121" s="139"/>
      <c r="C121" s="162" t="s">
        <v>286</v>
      </c>
      <c r="D121" s="250" t="s">
        <v>361</v>
      </c>
      <c r="E121" s="296" t="s">
        <v>362</v>
      </c>
      <c r="F121" s="296" t="s">
        <v>363</v>
      </c>
      <c r="G121" s="296" t="s">
        <v>364</v>
      </c>
      <c r="H121" s="89"/>
      <c r="I121" s="89"/>
      <c r="J121" s="89"/>
      <c r="K121" s="89"/>
      <c r="L121" s="89"/>
      <c r="M121" s="89"/>
    </row>
    <row r="122" spans="1:13" x14ac:dyDescent="0.3">
      <c r="A122" s="11">
        <v>22</v>
      </c>
      <c r="B122" s="8" t="s">
        <v>428</v>
      </c>
      <c r="C122" s="122">
        <f>SUM(D122:D122)</f>
        <v>0</v>
      </c>
      <c r="D122" s="214">
        <f>'2B-Investitie'!D37</f>
        <v>0</v>
      </c>
      <c r="E122" s="214">
        <f>'2B-Investitie'!E37</f>
        <v>0</v>
      </c>
      <c r="F122" s="214">
        <f>'2B-Investitie'!F37</f>
        <v>0</v>
      </c>
      <c r="G122" s="214">
        <f>'2B-Investitie'!G37</f>
        <v>0</v>
      </c>
      <c r="H122" s="89"/>
      <c r="I122" s="89"/>
      <c r="J122" s="89"/>
      <c r="K122" s="89"/>
      <c r="L122" s="89"/>
      <c r="M122" s="89"/>
    </row>
    <row r="123" spans="1:13" x14ac:dyDescent="0.3">
      <c r="A123" s="11"/>
      <c r="B123" s="300" t="s">
        <v>429</v>
      </c>
      <c r="C123" s="122">
        <f>SUM(D123:D123)</f>
        <v>0</v>
      </c>
      <c r="D123" s="121">
        <f>'2B-Investitie'!D35</f>
        <v>0</v>
      </c>
      <c r="E123" s="121">
        <f>'2B-Investitie'!E35</f>
        <v>0</v>
      </c>
      <c r="F123" s="121">
        <f>'2B-Investitie'!F35</f>
        <v>0</v>
      </c>
      <c r="G123" s="121">
        <f>'2B-Investitie'!G35</f>
        <v>0</v>
      </c>
      <c r="H123" s="89"/>
      <c r="I123" s="89"/>
      <c r="J123" s="89"/>
      <c r="K123" s="89"/>
      <c r="L123" s="89"/>
      <c r="M123" s="89"/>
    </row>
    <row r="124" spans="1:13" s="295" customFormat="1" ht="24" customHeight="1" x14ac:dyDescent="0.3">
      <c r="A124" s="12"/>
      <c r="B124" s="14" t="s">
        <v>430</v>
      </c>
      <c r="C124" s="122">
        <f>SUM(D124:D124)</f>
        <v>0</v>
      </c>
      <c r="D124" s="122">
        <f>D122</f>
        <v>0</v>
      </c>
      <c r="E124" s="122">
        <f>E122</f>
        <v>0</v>
      </c>
      <c r="F124" s="122">
        <f>F122</f>
        <v>0</v>
      </c>
      <c r="G124" s="122">
        <f>G122</f>
        <v>0</v>
      </c>
    </row>
    <row r="125" spans="1:13" s="88" customFormat="1" ht="14.4" customHeight="1" x14ac:dyDescent="0.3">
      <c r="A125" s="25"/>
      <c r="B125" s="293" t="s">
        <v>431</v>
      </c>
      <c r="C125" s="122">
        <f>SUM(D125:D125)</f>
        <v>261899.68</v>
      </c>
      <c r="D125" s="122">
        <f>D120-D124</f>
        <v>261899.68</v>
      </c>
      <c r="E125" s="122">
        <f>E120-E124</f>
        <v>0</v>
      </c>
      <c r="F125" s="122">
        <f>F120-F124</f>
        <v>0</v>
      </c>
      <c r="G125" s="122">
        <f>G120-G124</f>
        <v>0</v>
      </c>
    </row>
    <row r="126" spans="1:13" s="88" customFormat="1" ht="14.4" customHeight="1" x14ac:dyDescent="0.3">
      <c r="A126" s="10"/>
      <c r="B126" s="133"/>
      <c r="C126" s="298"/>
      <c r="D126" s="298"/>
    </row>
    <row r="127" spans="1:13" s="295" customFormat="1" ht="27" customHeight="1" x14ac:dyDescent="0.3">
      <c r="A127" s="368" t="s">
        <v>432</v>
      </c>
      <c r="B127" s="335"/>
      <c r="C127" s="162" t="s">
        <v>286</v>
      </c>
      <c r="D127" s="250" t="s">
        <v>361</v>
      </c>
      <c r="E127" s="296" t="s">
        <v>362</v>
      </c>
      <c r="F127" s="296" t="s">
        <v>363</v>
      </c>
      <c r="G127" s="296" t="s">
        <v>364</v>
      </c>
    </row>
    <row r="128" spans="1:13" x14ac:dyDescent="0.3">
      <c r="A128" s="11">
        <v>23</v>
      </c>
      <c r="B128" s="8" t="s">
        <v>433</v>
      </c>
      <c r="C128" s="122">
        <f t="shared" ref="C128:C133" si="2">SUM(D128:D128)</f>
        <v>0</v>
      </c>
      <c r="D128" s="120"/>
      <c r="E128" s="120">
        <v>0</v>
      </c>
      <c r="F128" s="120">
        <v>0</v>
      </c>
      <c r="G128" s="120">
        <v>0</v>
      </c>
      <c r="H128" s="89"/>
      <c r="I128" s="89"/>
      <c r="J128" s="89"/>
      <c r="K128" s="89"/>
      <c r="L128" s="89"/>
      <c r="M128" s="89"/>
    </row>
    <row r="129" spans="1:7" s="89" customFormat="1" x14ac:dyDescent="0.3">
      <c r="A129" s="11">
        <v>24</v>
      </c>
      <c r="B129" s="8" t="s">
        <v>434</v>
      </c>
      <c r="C129" s="122">
        <f t="shared" si="2"/>
        <v>0</v>
      </c>
      <c r="D129" s="120">
        <v>0</v>
      </c>
      <c r="E129" s="120">
        <v>0</v>
      </c>
      <c r="F129" s="120">
        <v>0</v>
      </c>
      <c r="G129" s="120">
        <v>0</v>
      </c>
    </row>
    <row r="130" spans="1:7" s="89" customFormat="1" x14ac:dyDescent="0.3">
      <c r="A130" s="11">
        <v>25</v>
      </c>
      <c r="B130" s="8" t="s">
        <v>435</v>
      </c>
      <c r="C130" s="122">
        <f t="shared" si="2"/>
        <v>0</v>
      </c>
      <c r="D130" s="120">
        <v>0</v>
      </c>
      <c r="E130" s="120">
        <v>0</v>
      </c>
      <c r="F130" s="120">
        <v>0</v>
      </c>
      <c r="G130" s="120">
        <v>0</v>
      </c>
    </row>
    <row r="131" spans="1:7" s="295" customFormat="1" ht="13.2" customHeight="1" x14ac:dyDescent="0.3">
      <c r="A131" s="12"/>
      <c r="B131" s="14" t="s">
        <v>436</v>
      </c>
      <c r="C131" s="122">
        <f t="shared" si="2"/>
        <v>0</v>
      </c>
      <c r="D131" s="122">
        <f>SUM(D128:D130)</f>
        <v>0</v>
      </c>
      <c r="E131" s="122">
        <f>SUM(E128:E130)</f>
        <v>0</v>
      </c>
      <c r="F131" s="122">
        <f>SUM(F128:F130)</f>
        <v>0</v>
      </c>
      <c r="G131" s="122">
        <f>SUM(G128:G130)</f>
        <v>0</v>
      </c>
    </row>
    <row r="132" spans="1:7" s="88" customFormat="1" ht="14.4" customHeight="1" x14ac:dyDescent="0.3">
      <c r="A132" s="25"/>
      <c r="B132" s="293" t="s">
        <v>437</v>
      </c>
      <c r="C132" s="122">
        <f t="shared" si="2"/>
        <v>0</v>
      </c>
      <c r="D132" s="122">
        <f>-D131</f>
        <v>0</v>
      </c>
      <c r="E132" s="122">
        <f>-E131</f>
        <v>0</v>
      </c>
      <c r="F132" s="122">
        <f>-F131</f>
        <v>0</v>
      </c>
      <c r="G132" s="122">
        <f>-G131</f>
        <v>0</v>
      </c>
    </row>
    <row r="133" spans="1:7" s="88" customFormat="1" ht="14.4" customHeight="1" x14ac:dyDescent="0.3">
      <c r="A133" s="368" t="s">
        <v>438</v>
      </c>
      <c r="B133" s="335"/>
      <c r="C133" s="122">
        <f t="shared" si="2"/>
        <v>261899.68</v>
      </c>
      <c r="D133" s="122">
        <f>D125+D132</f>
        <v>261899.68</v>
      </c>
      <c r="E133" s="122">
        <f>E125+E132</f>
        <v>0</v>
      </c>
      <c r="F133" s="122">
        <f>F125+F132</f>
        <v>0</v>
      </c>
      <c r="G133" s="122">
        <f>G125+G132</f>
        <v>0</v>
      </c>
    </row>
    <row r="134" spans="1:7" s="88" customFormat="1" ht="14.4" customHeight="1" x14ac:dyDescent="0.3">
      <c r="A134" s="133"/>
      <c r="B134" s="133"/>
      <c r="C134" s="298"/>
      <c r="D134" s="298"/>
      <c r="E134" s="298"/>
      <c r="F134" s="298"/>
      <c r="G134" s="298"/>
    </row>
    <row r="135" spans="1:7" s="88" customFormat="1" ht="36" customHeight="1" x14ac:dyDescent="0.3">
      <c r="A135" s="367" t="s">
        <v>439</v>
      </c>
      <c r="B135" s="327"/>
      <c r="C135" s="162" t="s">
        <v>286</v>
      </c>
      <c r="D135" s="250" t="s">
        <v>361</v>
      </c>
      <c r="E135" s="296" t="s">
        <v>362</v>
      </c>
      <c r="F135" s="296" t="s">
        <v>363</v>
      </c>
      <c r="G135" s="296" t="s">
        <v>364</v>
      </c>
    </row>
    <row r="136" spans="1:7" s="88" customFormat="1" ht="14.4" customHeight="1" x14ac:dyDescent="0.3">
      <c r="A136" s="354"/>
      <c r="B136" s="355"/>
      <c r="C136" s="122">
        <f>SUM(D136:G136)</f>
        <v>3199556.0538163986</v>
      </c>
      <c r="D136" s="122">
        <f>D113+D133</f>
        <v>932859.60499999952</v>
      </c>
      <c r="E136" s="122">
        <f>E113+E133</f>
        <v>768765.08406560007</v>
      </c>
      <c r="F136" s="122">
        <f>F113+F133</f>
        <v>755323.50268799963</v>
      </c>
      <c r="G136" s="122">
        <f>G113+G133</f>
        <v>742607.86206279928</v>
      </c>
    </row>
    <row r="137" spans="1:7" s="89" customFormat="1" x14ac:dyDescent="0.3">
      <c r="A137" s="373" t="s">
        <v>410</v>
      </c>
      <c r="B137" s="335"/>
      <c r="C137" s="122"/>
      <c r="D137" s="121">
        <f>'1A-Bilant'!D28</f>
        <v>0</v>
      </c>
      <c r="E137" s="121">
        <f>D138</f>
        <v>932859.60499999952</v>
      </c>
      <c r="F137" s="121">
        <f>E138</f>
        <v>1701624.6890655996</v>
      </c>
      <c r="G137" s="121">
        <f>F138</f>
        <v>2456948.1917535993</v>
      </c>
    </row>
    <row r="138" spans="1:7" s="89" customFormat="1" ht="21.75" customHeight="1" x14ac:dyDescent="0.3">
      <c r="A138" s="373" t="s">
        <v>411</v>
      </c>
      <c r="B138" s="335"/>
      <c r="C138" s="122"/>
      <c r="D138" s="121">
        <f>D137+D136</f>
        <v>932859.60499999952</v>
      </c>
      <c r="E138" s="121">
        <f>E137+E136</f>
        <v>1701624.6890655996</v>
      </c>
      <c r="F138" s="121">
        <f>F137+F136</f>
        <v>2456948.1917535993</v>
      </c>
      <c r="G138" s="121">
        <f>G137+G136</f>
        <v>3199556.0538163986</v>
      </c>
    </row>
    <row r="139" spans="1:7" s="89" customFormat="1" ht="21.75" customHeight="1" x14ac:dyDescent="0.3">
      <c r="A139" s="224"/>
      <c r="B139" s="224"/>
      <c r="C139" s="298"/>
      <c r="D139" s="299"/>
      <c r="E139" s="299"/>
      <c r="F139" s="299"/>
      <c r="G139" s="299"/>
    </row>
    <row r="140" spans="1:7" s="86" customFormat="1" ht="14.4" customHeight="1" x14ac:dyDescent="0.3">
      <c r="A140" s="383" t="s">
        <v>440</v>
      </c>
      <c r="B140" s="380"/>
      <c r="C140" s="380"/>
      <c r="D140" s="380"/>
      <c r="E140" s="380"/>
      <c r="F140" s="380"/>
      <c r="G140" s="380"/>
    </row>
    <row r="141" spans="1:7" s="86" customFormat="1" ht="14.4" customHeight="1" x14ac:dyDescent="0.3">
      <c r="A141" s="376" t="s">
        <v>359</v>
      </c>
      <c r="B141" s="375"/>
      <c r="C141" s="377" t="s">
        <v>286</v>
      </c>
      <c r="D141" s="378" t="s">
        <v>360</v>
      </c>
      <c r="E141" s="324"/>
      <c r="F141" s="324"/>
      <c r="G141" s="335"/>
    </row>
    <row r="142" spans="1:7" s="86" customFormat="1" ht="36" customHeight="1" x14ac:dyDescent="0.3">
      <c r="A142" s="350"/>
      <c r="B142" s="350"/>
      <c r="C142" s="350"/>
      <c r="D142" s="250" t="s">
        <v>361</v>
      </c>
      <c r="E142" s="296" t="s">
        <v>362</v>
      </c>
      <c r="F142" s="296" t="s">
        <v>363</v>
      </c>
      <c r="G142" s="296" t="s">
        <v>364</v>
      </c>
    </row>
    <row r="143" spans="1:7" s="86" customFormat="1" ht="14.4" customHeight="1" x14ac:dyDescent="0.3">
      <c r="A143" s="382" t="s">
        <v>441</v>
      </c>
      <c r="B143" s="324"/>
      <c r="C143" s="324"/>
      <c r="D143" s="324"/>
      <c r="E143" s="324"/>
      <c r="F143" s="324"/>
      <c r="G143" s="335"/>
    </row>
    <row r="144" spans="1:7" s="86" customFormat="1" ht="14.4" customHeight="1" x14ac:dyDescent="0.3">
      <c r="A144" s="369" t="s">
        <v>442</v>
      </c>
      <c r="B144" s="324"/>
      <c r="C144" s="324"/>
      <c r="D144" s="324"/>
      <c r="E144" s="324"/>
      <c r="F144" s="324"/>
      <c r="G144" s="335"/>
    </row>
    <row r="145" spans="1:7" s="86" customFormat="1" ht="14.4" customHeight="1" x14ac:dyDescent="0.3">
      <c r="A145" s="368" t="s">
        <v>443</v>
      </c>
      <c r="B145" s="324"/>
      <c r="C145" s="324"/>
      <c r="D145" s="324"/>
      <c r="E145" s="324"/>
      <c r="F145" s="324"/>
      <c r="G145" s="335"/>
    </row>
    <row r="146" spans="1:7" s="86" customFormat="1" ht="14.4" customHeight="1" x14ac:dyDescent="0.3">
      <c r="A146" s="4">
        <v>1</v>
      </c>
      <c r="B146" s="300" t="s">
        <v>367</v>
      </c>
      <c r="C146" s="122">
        <f>SUM(D146:G146)</f>
        <v>0</v>
      </c>
      <c r="D146" s="121">
        <f>D65-D9</f>
        <v>0</v>
      </c>
      <c r="E146" s="121">
        <f>E65-E9</f>
        <v>0</v>
      </c>
      <c r="F146" s="121">
        <f>F65-F9</f>
        <v>0</v>
      </c>
      <c r="G146" s="121">
        <f>G65-G9</f>
        <v>0</v>
      </c>
    </row>
    <row r="147" spans="1:7" s="86" customFormat="1" ht="14.4" customHeight="1" x14ac:dyDescent="0.3">
      <c r="A147" s="4">
        <v>2</v>
      </c>
      <c r="B147" s="300" t="s">
        <v>370</v>
      </c>
      <c r="C147" s="122">
        <f>SUM(D147:G147)</f>
        <v>0</v>
      </c>
      <c r="D147" s="121">
        <f>D68-D12</f>
        <v>0</v>
      </c>
      <c r="E147" s="121">
        <f>E68-E12</f>
        <v>0</v>
      </c>
      <c r="F147" s="121">
        <f>F68-F12</f>
        <v>0</v>
      </c>
      <c r="G147" s="121">
        <f>G68-G12</f>
        <v>0</v>
      </c>
    </row>
    <row r="148" spans="1:7" s="86" customFormat="1" ht="14.4" customHeight="1" x14ac:dyDescent="0.3">
      <c r="A148" s="4">
        <v>3</v>
      </c>
      <c r="B148" s="300" t="s">
        <v>373</v>
      </c>
      <c r="C148" s="122">
        <f>SUM(D148:G148)</f>
        <v>772332.25890239794</v>
      </c>
      <c r="D148" s="121">
        <f>D71-D15</f>
        <v>0</v>
      </c>
      <c r="E148" s="121">
        <f>E71-E15</f>
        <v>219175.37076959992</v>
      </c>
      <c r="F148" s="121">
        <f>F71-F15</f>
        <v>260923.06043999922</v>
      </c>
      <c r="G148" s="121">
        <f>G71-G15</f>
        <v>292233.8276927988</v>
      </c>
    </row>
    <row r="149" spans="1:7" s="88" customFormat="1" ht="23.25" customHeight="1" x14ac:dyDescent="0.3">
      <c r="A149" s="368" t="s">
        <v>444</v>
      </c>
      <c r="B149" s="335"/>
      <c r="C149" s="122">
        <f>SUM(D149:G149)</f>
        <v>772332.25890239794</v>
      </c>
      <c r="D149" s="122">
        <f>D74-D18</f>
        <v>0</v>
      </c>
      <c r="E149" s="122">
        <f>E74-E18</f>
        <v>219175.37076959992</v>
      </c>
      <c r="F149" s="122">
        <f>F74-F18</f>
        <v>260923.06043999922</v>
      </c>
      <c r="G149" s="122">
        <f>G74-G18</f>
        <v>292233.8276927988</v>
      </c>
    </row>
    <row r="150" spans="1:7" s="88" customFormat="1" ht="14.4" customHeight="1" x14ac:dyDescent="0.3">
      <c r="A150" s="369" t="s">
        <v>445</v>
      </c>
      <c r="B150" s="324"/>
      <c r="C150" s="324"/>
      <c r="D150" s="324"/>
      <c r="E150" s="324"/>
      <c r="F150" s="324"/>
      <c r="G150" s="335"/>
    </row>
    <row r="151" spans="1:7" s="88" customFormat="1" ht="14.4" customHeight="1" x14ac:dyDescent="0.3">
      <c r="A151" s="368" t="s">
        <v>446</v>
      </c>
      <c r="B151" s="324"/>
      <c r="C151" s="324"/>
      <c r="D151" s="324"/>
      <c r="E151" s="324"/>
      <c r="F151" s="324"/>
      <c r="G151" s="335"/>
    </row>
    <row r="152" spans="1:7" s="86" customFormat="1" ht="24" customHeight="1" x14ac:dyDescent="0.3">
      <c r="A152" s="4">
        <v>5</v>
      </c>
      <c r="B152" s="6" t="s">
        <v>379</v>
      </c>
      <c r="C152" s="122">
        <f t="shared" ref="C152:C171" si="3">SUM(D152:G152)</f>
        <v>12094.291062000033</v>
      </c>
      <c r="D152" s="121">
        <f>D77-D21</f>
        <v>0</v>
      </c>
      <c r="E152" s="121">
        <f>E77-E21</f>
        <v>1343.810117999994</v>
      </c>
      <c r="F152" s="121">
        <f>F77-F21</f>
        <v>4031.430354000011</v>
      </c>
      <c r="G152" s="121">
        <f>G77-G21</f>
        <v>6719.050590000028</v>
      </c>
    </row>
    <row r="153" spans="1:7" s="86" customFormat="1" ht="14.4" customHeight="1" x14ac:dyDescent="0.3">
      <c r="A153" s="4">
        <v>6</v>
      </c>
      <c r="B153" s="6" t="s">
        <v>384</v>
      </c>
      <c r="C153" s="122">
        <f t="shared" si="3"/>
        <v>18817.517124000005</v>
      </c>
      <c r="D153" s="121">
        <f>D82-D26</f>
        <v>0</v>
      </c>
      <c r="E153" s="121">
        <f>E82-E26</f>
        <v>0</v>
      </c>
      <c r="F153" s="121">
        <f>F82-F26</f>
        <v>9408.7585620000027</v>
      </c>
      <c r="G153" s="121">
        <f>G82-G26</f>
        <v>9408.7585620000027</v>
      </c>
    </row>
    <row r="154" spans="1:7" s="86" customFormat="1" ht="24" customHeight="1" x14ac:dyDescent="0.3">
      <c r="A154" s="4">
        <v>7</v>
      </c>
      <c r="B154" s="300" t="s">
        <v>386</v>
      </c>
      <c r="C154" s="122">
        <f t="shared" si="3"/>
        <v>364546.22316000005</v>
      </c>
      <c r="D154" s="121">
        <f t="shared" ref="D154:G155" si="4">D85-D29</f>
        <v>88482.093000000008</v>
      </c>
      <c r="E154" s="121">
        <f t="shared" si="4"/>
        <v>90251.734860000011</v>
      </c>
      <c r="F154" s="121">
        <f t="shared" si="4"/>
        <v>92021.376720000015</v>
      </c>
      <c r="G154" s="121">
        <f t="shared" si="4"/>
        <v>93791.018580000018</v>
      </c>
    </row>
    <row r="155" spans="1:7" s="86" customFormat="1" ht="14.4" customHeight="1" x14ac:dyDescent="0.3">
      <c r="A155" s="4">
        <v>8</v>
      </c>
      <c r="B155" s="300" t="s">
        <v>387</v>
      </c>
      <c r="C155" s="122">
        <f t="shared" si="3"/>
        <v>0</v>
      </c>
      <c r="D155" s="121">
        <f t="shared" si="4"/>
        <v>0</v>
      </c>
      <c r="E155" s="121">
        <f t="shared" si="4"/>
        <v>0</v>
      </c>
      <c r="F155" s="121">
        <f t="shared" si="4"/>
        <v>0</v>
      </c>
      <c r="G155" s="121">
        <f t="shared" si="4"/>
        <v>0</v>
      </c>
    </row>
    <row r="156" spans="1:7" s="86" customFormat="1" ht="14.4" customHeight="1" x14ac:dyDescent="0.3">
      <c r="A156" s="4">
        <v>9</v>
      </c>
      <c r="B156" s="300" t="s">
        <v>390</v>
      </c>
      <c r="C156" s="122">
        <f t="shared" si="3"/>
        <v>0</v>
      </c>
      <c r="D156" s="121">
        <f>D89-D33</f>
        <v>0</v>
      </c>
      <c r="E156" s="121">
        <f>E89-E33</f>
        <v>0</v>
      </c>
      <c r="F156" s="121">
        <f>F89-F33</f>
        <v>0</v>
      </c>
      <c r="G156" s="121">
        <f>G89-G33</f>
        <v>0</v>
      </c>
    </row>
    <row r="157" spans="1:7" s="86" customFormat="1" ht="14.4" customHeight="1" x14ac:dyDescent="0.3">
      <c r="A157" s="4">
        <v>10</v>
      </c>
      <c r="B157" s="300" t="s">
        <v>391</v>
      </c>
      <c r="C157" s="122">
        <f t="shared" si="3"/>
        <v>0</v>
      </c>
      <c r="D157" s="121">
        <f>D92-D36</f>
        <v>0</v>
      </c>
      <c r="E157" s="121">
        <f>E92-E36</f>
        <v>0</v>
      </c>
      <c r="F157" s="121">
        <f>F92-F36</f>
        <v>0</v>
      </c>
      <c r="G157" s="121">
        <f>G92-G36</f>
        <v>0</v>
      </c>
    </row>
    <row r="158" spans="1:7" s="86" customFormat="1" ht="14.4" customHeight="1" x14ac:dyDescent="0.3">
      <c r="A158" s="4"/>
      <c r="B158" s="293" t="s">
        <v>392</v>
      </c>
      <c r="C158" s="122">
        <f t="shared" si="3"/>
        <v>395458.03134600015</v>
      </c>
      <c r="D158" s="122">
        <f t="shared" ref="D158:G159" si="5">D95-D39</f>
        <v>88482.092999999993</v>
      </c>
      <c r="E158" s="122">
        <f t="shared" si="5"/>
        <v>91595.544977999991</v>
      </c>
      <c r="F158" s="122">
        <f t="shared" si="5"/>
        <v>105461.56563600001</v>
      </c>
      <c r="G158" s="122">
        <f t="shared" si="5"/>
        <v>109918.82773200015</v>
      </c>
    </row>
    <row r="159" spans="1:7" s="86" customFormat="1" ht="14.4" customHeight="1" x14ac:dyDescent="0.3">
      <c r="A159" s="4">
        <v>11</v>
      </c>
      <c r="B159" s="300" t="s">
        <v>393</v>
      </c>
      <c r="C159" s="122">
        <f t="shared" si="3"/>
        <v>101983.20000000007</v>
      </c>
      <c r="D159" s="121">
        <f t="shared" si="5"/>
        <v>0</v>
      </c>
      <c r="E159" s="121">
        <f t="shared" si="5"/>
        <v>16997.200000000012</v>
      </c>
      <c r="F159" s="121">
        <f t="shared" si="5"/>
        <v>33994.400000000023</v>
      </c>
      <c r="G159" s="121">
        <f t="shared" si="5"/>
        <v>50991.600000000035</v>
      </c>
    </row>
    <row r="160" spans="1:7" s="86" customFormat="1" ht="14.4" customHeight="1" x14ac:dyDescent="0.3">
      <c r="A160" s="7">
        <v>12</v>
      </c>
      <c r="B160" s="6" t="s">
        <v>397</v>
      </c>
      <c r="C160" s="122">
        <f t="shared" si="3"/>
        <v>2294.6220000000012</v>
      </c>
      <c r="D160" s="121">
        <f t="shared" ref="D160:G163" si="6">D100-D44</f>
        <v>0</v>
      </c>
      <c r="E160" s="121">
        <f t="shared" si="6"/>
        <v>382.4369999999999</v>
      </c>
      <c r="F160" s="121">
        <f t="shared" si="6"/>
        <v>764.87400000000071</v>
      </c>
      <c r="G160" s="121">
        <f t="shared" si="6"/>
        <v>1147.3110000000006</v>
      </c>
    </row>
    <row r="161" spans="1:13" s="88" customFormat="1" ht="14.4" customHeight="1" x14ac:dyDescent="0.3">
      <c r="A161" s="4"/>
      <c r="B161" s="293" t="s">
        <v>398</v>
      </c>
      <c r="C161" s="122">
        <f t="shared" si="3"/>
        <v>104277.8220000001</v>
      </c>
      <c r="D161" s="122">
        <f t="shared" si="6"/>
        <v>0</v>
      </c>
      <c r="E161" s="122">
        <f t="shared" si="6"/>
        <v>17379.637000000017</v>
      </c>
      <c r="F161" s="122">
        <f t="shared" si="6"/>
        <v>34759.274000000034</v>
      </c>
      <c r="G161" s="122">
        <f t="shared" si="6"/>
        <v>52138.911000000051</v>
      </c>
    </row>
    <row r="162" spans="1:13" s="86" customFormat="1" ht="36" customHeight="1" x14ac:dyDescent="0.3">
      <c r="A162" s="4">
        <v>13</v>
      </c>
      <c r="B162" s="6" t="s">
        <v>399</v>
      </c>
      <c r="C162" s="122">
        <f t="shared" si="3"/>
        <v>65662.981440000061</v>
      </c>
      <c r="D162" s="121">
        <f t="shared" si="6"/>
        <v>15270.460800000059</v>
      </c>
      <c r="E162" s="121">
        <f t="shared" si="6"/>
        <v>16033.983840000001</v>
      </c>
      <c r="F162" s="121">
        <f t="shared" si="6"/>
        <v>16797.506880000001</v>
      </c>
      <c r="G162" s="121">
        <f t="shared" si="6"/>
        <v>17561.029920000001</v>
      </c>
    </row>
    <row r="163" spans="1:13" s="86" customFormat="1" ht="24" customHeight="1" x14ac:dyDescent="0.3">
      <c r="A163" s="4"/>
      <c r="B163" s="300" t="s">
        <v>416</v>
      </c>
      <c r="C163" s="122">
        <f t="shared" si="3"/>
        <v>0</v>
      </c>
      <c r="D163" s="121">
        <f t="shared" si="6"/>
        <v>0</v>
      </c>
      <c r="E163" s="121">
        <f t="shared" si="6"/>
        <v>0</v>
      </c>
      <c r="F163" s="121">
        <f t="shared" si="6"/>
        <v>0</v>
      </c>
      <c r="G163" s="121">
        <f t="shared" si="6"/>
        <v>0</v>
      </c>
    </row>
    <row r="164" spans="1:13" s="295" customFormat="1" ht="36" customHeight="1" x14ac:dyDescent="0.3">
      <c r="A164" s="137">
        <v>14</v>
      </c>
      <c r="B164" s="293" t="s">
        <v>447</v>
      </c>
      <c r="C164" s="122">
        <f t="shared" si="3"/>
        <v>49.021200000000135</v>
      </c>
      <c r="D164" s="122">
        <f t="shared" ref="D164:G171" si="7">D106-D50</f>
        <v>0</v>
      </c>
      <c r="E164" s="122">
        <f t="shared" si="7"/>
        <v>8.1702000000000226</v>
      </c>
      <c r="F164" s="122">
        <f t="shared" si="7"/>
        <v>16.340400000000045</v>
      </c>
      <c r="G164" s="122">
        <f t="shared" si="7"/>
        <v>24.510600000000068</v>
      </c>
    </row>
    <row r="165" spans="1:13" s="295" customFormat="1" ht="24" customHeight="1" x14ac:dyDescent="0.3">
      <c r="A165" s="137"/>
      <c r="B165" s="293" t="s">
        <v>448</v>
      </c>
      <c r="C165" s="122">
        <f t="shared" si="3"/>
        <v>565447.8559860005</v>
      </c>
      <c r="D165" s="122">
        <f t="shared" si="7"/>
        <v>103752.55380000011</v>
      </c>
      <c r="E165" s="122">
        <f t="shared" si="7"/>
        <v>125017.33601800003</v>
      </c>
      <c r="F165" s="122">
        <f t="shared" si="7"/>
        <v>157034.68691600021</v>
      </c>
      <c r="G165" s="122">
        <f t="shared" si="7"/>
        <v>179643.27925200015</v>
      </c>
    </row>
    <row r="166" spans="1:13" s="295" customFormat="1" ht="24" customHeight="1" x14ac:dyDescent="0.3">
      <c r="A166" s="137"/>
      <c r="B166" s="293" t="s">
        <v>449</v>
      </c>
      <c r="C166" s="122">
        <f t="shared" si="3"/>
        <v>206884.40291639743</v>
      </c>
      <c r="D166" s="122">
        <f t="shared" si="7"/>
        <v>-103752.55380000011</v>
      </c>
      <c r="E166" s="122">
        <f t="shared" si="7"/>
        <v>94158.034751599887</v>
      </c>
      <c r="F166" s="122">
        <f t="shared" si="7"/>
        <v>103888.37352399901</v>
      </c>
      <c r="G166" s="122">
        <f t="shared" si="7"/>
        <v>112590.54844079865</v>
      </c>
    </row>
    <row r="167" spans="1:13" x14ac:dyDescent="0.3">
      <c r="A167" s="7">
        <v>15</v>
      </c>
      <c r="B167" s="8" t="s">
        <v>405</v>
      </c>
      <c r="C167" s="122">
        <f t="shared" si="3"/>
        <v>296005.97021039965</v>
      </c>
      <c r="D167" s="121">
        <f t="shared" si="7"/>
        <v>4890.2580000000307</v>
      </c>
      <c r="E167" s="121">
        <f t="shared" si="7"/>
        <v>88963.407807599928</v>
      </c>
      <c r="F167" s="121">
        <f t="shared" si="7"/>
        <v>97594.037195999816</v>
      </c>
      <c r="G167" s="121">
        <f t="shared" si="7"/>
        <v>104558.26720679988</v>
      </c>
      <c r="H167" s="89"/>
      <c r="I167" s="89"/>
      <c r="J167" s="89"/>
      <c r="K167" s="89"/>
      <c r="L167" s="89"/>
      <c r="M167" s="89"/>
    </row>
    <row r="168" spans="1:13" x14ac:dyDescent="0.3">
      <c r="A168" s="7">
        <v>16</v>
      </c>
      <c r="B168" s="8" t="s">
        <v>406</v>
      </c>
      <c r="C168" s="122">
        <f t="shared" si="3"/>
        <v>0</v>
      </c>
      <c r="D168" s="121">
        <f t="shared" si="7"/>
        <v>0</v>
      </c>
      <c r="E168" s="121">
        <f t="shared" si="7"/>
        <v>0</v>
      </c>
      <c r="F168" s="121">
        <f t="shared" si="7"/>
        <v>0</v>
      </c>
      <c r="G168" s="121">
        <f t="shared" si="7"/>
        <v>0</v>
      </c>
      <c r="H168" s="89"/>
      <c r="I168" s="89"/>
      <c r="J168" s="89"/>
      <c r="K168" s="89"/>
      <c r="L168" s="89"/>
      <c r="M168" s="89"/>
    </row>
    <row r="169" spans="1:13" x14ac:dyDescent="0.3">
      <c r="A169" s="7">
        <v>17</v>
      </c>
      <c r="B169" s="8" t="s">
        <v>407</v>
      </c>
      <c r="C169" s="122">
        <f t="shared" si="3"/>
        <v>-6257.7681890400127</v>
      </c>
      <c r="D169" s="121">
        <f t="shared" si="7"/>
        <v>0</v>
      </c>
      <c r="E169" s="121">
        <f t="shared" si="7"/>
        <v>-2365.8485900399974</v>
      </c>
      <c r="F169" s="121">
        <f t="shared" si="7"/>
        <v>-2056.6876528800058</v>
      </c>
      <c r="G169" s="121">
        <f t="shared" si="7"/>
        <v>-1835.2319461200095</v>
      </c>
      <c r="H169" s="89"/>
      <c r="I169" s="89"/>
      <c r="J169" s="89"/>
      <c r="K169" s="89"/>
      <c r="L169" s="89"/>
      <c r="M169" s="89"/>
    </row>
    <row r="170" spans="1:13" s="295" customFormat="1" ht="13.2" customHeight="1" x14ac:dyDescent="0.3">
      <c r="A170" s="368" t="s">
        <v>450</v>
      </c>
      <c r="B170" s="335"/>
      <c r="C170" s="122">
        <f t="shared" si="3"/>
        <v>289748.20202135958</v>
      </c>
      <c r="D170" s="122">
        <f t="shared" si="7"/>
        <v>4890.2580000000307</v>
      </c>
      <c r="E170" s="122">
        <f t="shared" si="7"/>
        <v>86597.55921755993</v>
      </c>
      <c r="F170" s="122">
        <f t="shared" si="7"/>
        <v>95537.349543119781</v>
      </c>
      <c r="G170" s="122">
        <f t="shared" si="7"/>
        <v>102723.03526067984</v>
      </c>
    </row>
    <row r="171" spans="1:13" s="88" customFormat="1" ht="27" customHeight="1" x14ac:dyDescent="0.3">
      <c r="A171" s="368" t="s">
        <v>451</v>
      </c>
      <c r="B171" s="335"/>
      <c r="C171" s="122">
        <f t="shared" si="3"/>
        <v>-82863.799104962265</v>
      </c>
      <c r="D171" s="122">
        <f t="shared" si="7"/>
        <v>-108642.81180000026</v>
      </c>
      <c r="E171" s="122">
        <f t="shared" si="7"/>
        <v>7560.4755340400152</v>
      </c>
      <c r="F171" s="122">
        <f t="shared" si="7"/>
        <v>8351.0239808792248</v>
      </c>
      <c r="G171" s="122">
        <f t="shared" si="7"/>
        <v>9867.5131801187526</v>
      </c>
    </row>
    <row r="172" spans="1:13" s="88" customFormat="1" ht="14.4" customHeight="1" x14ac:dyDescent="0.3">
      <c r="A172" s="10"/>
      <c r="B172" s="133"/>
      <c r="C172" s="298"/>
      <c r="D172" s="298"/>
      <c r="E172" s="298"/>
      <c r="F172" s="298"/>
      <c r="G172" s="298"/>
      <c r="H172" s="298"/>
      <c r="I172" s="298"/>
      <c r="J172" s="298"/>
      <c r="K172" s="298"/>
      <c r="L172" s="298"/>
      <c r="M172" s="298"/>
    </row>
    <row r="173" spans="1:13" s="295" customFormat="1" ht="13.2" customHeight="1" x14ac:dyDescent="0.3">
      <c r="A173" s="138" t="s">
        <v>421</v>
      </c>
      <c r="B173" s="138"/>
      <c r="C173" s="138"/>
      <c r="D173" s="138"/>
      <c r="E173" s="138"/>
      <c r="F173" s="138"/>
      <c r="G173" s="138"/>
      <c r="H173" s="138"/>
      <c r="I173" s="138"/>
      <c r="J173" s="138"/>
      <c r="K173" s="138"/>
      <c r="L173" s="138"/>
      <c r="M173" s="138"/>
    </row>
    <row r="174" spans="1:13" ht="36" customHeight="1" x14ac:dyDescent="0.3">
      <c r="A174" s="139" t="s">
        <v>422</v>
      </c>
      <c r="B174" s="139"/>
      <c r="C174" s="296" t="s">
        <v>286</v>
      </c>
      <c r="D174" s="250" t="s">
        <v>361</v>
      </c>
      <c r="E174" s="138"/>
      <c r="F174" s="138"/>
      <c r="G174" s="138"/>
      <c r="H174" s="138"/>
      <c r="I174" s="138"/>
      <c r="J174" s="138"/>
      <c r="K174" s="89"/>
      <c r="L174" s="89"/>
      <c r="M174" s="89"/>
    </row>
    <row r="175" spans="1:13" ht="24" customHeight="1" x14ac:dyDescent="0.3">
      <c r="A175" s="11">
        <v>19</v>
      </c>
      <c r="B175" s="8" t="s">
        <v>423</v>
      </c>
      <c r="C175" s="122">
        <f>SUM(D175:D175)</f>
        <v>0</v>
      </c>
      <c r="D175" s="121">
        <f>'2B-Investitie'!E27</f>
        <v>0</v>
      </c>
      <c r="K175" s="89"/>
      <c r="L175" s="89"/>
      <c r="M175" s="89"/>
    </row>
    <row r="176" spans="1:13" x14ac:dyDescent="0.3">
      <c r="A176" s="11">
        <v>20</v>
      </c>
      <c r="B176" s="8" t="s">
        <v>424</v>
      </c>
      <c r="C176" s="122">
        <f>SUM(D176:D176)</f>
        <v>0</v>
      </c>
      <c r="D176" s="121">
        <f>'2B-Investitie'!E28</f>
        <v>0</v>
      </c>
      <c r="K176" s="89"/>
      <c r="L176" s="89"/>
      <c r="M176" s="89"/>
    </row>
    <row r="177" spans="1:10" s="89" customFormat="1" x14ac:dyDescent="0.3">
      <c r="A177" s="11">
        <v>21</v>
      </c>
      <c r="B177" s="8" t="s">
        <v>452</v>
      </c>
      <c r="C177" s="122">
        <f>SUM(D177:D177)</f>
        <v>261899.68</v>
      </c>
      <c r="D177" s="121">
        <f>'2B-Investitie'!E29</f>
        <v>261899.68</v>
      </c>
      <c r="E177" s="299"/>
      <c r="F177" s="299"/>
      <c r="G177" s="299"/>
      <c r="H177" s="299"/>
      <c r="I177" s="299"/>
      <c r="J177" s="299"/>
    </row>
    <row r="178" spans="1:10" s="295" customFormat="1" ht="13.2" customHeight="1" x14ac:dyDescent="0.3">
      <c r="A178" s="12"/>
      <c r="B178" s="14" t="s">
        <v>453</v>
      </c>
      <c r="C178" s="122">
        <f>SUM(D178:D178)</f>
        <v>261899.68</v>
      </c>
      <c r="D178" s="122">
        <f>SUM(D175:D177)</f>
        <v>261899.68</v>
      </c>
      <c r="E178" s="298"/>
      <c r="F178" s="298"/>
      <c r="G178" s="298"/>
      <c r="H178" s="298"/>
      <c r="I178" s="298"/>
      <c r="J178" s="298"/>
    </row>
    <row r="179" spans="1:10" s="89" customFormat="1" ht="36" customHeight="1" x14ac:dyDescent="0.3">
      <c r="A179" s="139" t="s">
        <v>427</v>
      </c>
      <c r="B179" s="139"/>
      <c r="C179" s="296" t="s">
        <v>286</v>
      </c>
      <c r="D179" s="250" t="s">
        <v>361</v>
      </c>
      <c r="E179" s="296" t="s">
        <v>362</v>
      </c>
      <c r="F179" s="296" t="s">
        <v>363</v>
      </c>
      <c r="G179" s="296" t="s">
        <v>364</v>
      </c>
    </row>
    <row r="180" spans="1:10" s="89" customFormat="1" x14ac:dyDescent="0.3">
      <c r="A180" s="11">
        <v>22</v>
      </c>
      <c r="B180" s="8" t="s">
        <v>428</v>
      </c>
      <c r="C180" s="122">
        <f>SUM(D180:G180)</f>
        <v>0</v>
      </c>
      <c r="D180" s="121">
        <f>D122</f>
        <v>0</v>
      </c>
      <c r="E180" s="121">
        <f>E122</f>
        <v>0</v>
      </c>
      <c r="F180" s="121">
        <f>F122</f>
        <v>0</v>
      </c>
      <c r="G180" s="121">
        <f>G122</f>
        <v>0</v>
      </c>
    </row>
    <row r="181" spans="1:10" s="89" customFormat="1" x14ac:dyDescent="0.3">
      <c r="A181" s="11"/>
      <c r="B181" s="300" t="s">
        <v>429</v>
      </c>
      <c r="C181" s="122">
        <f>SUM(D181:G181)</f>
        <v>0</v>
      </c>
      <c r="D181" s="121">
        <f>'2B-Investitie'!D35</f>
        <v>0</v>
      </c>
      <c r="E181" s="121">
        <f>'2B-Investitie'!E35</f>
        <v>0</v>
      </c>
      <c r="F181" s="121">
        <f>'2B-Investitie'!F35</f>
        <v>0</v>
      </c>
      <c r="G181" s="121">
        <f>'2B-Investitie'!G35</f>
        <v>0</v>
      </c>
    </row>
    <row r="182" spans="1:10" s="295" customFormat="1" ht="13.2" customHeight="1" x14ac:dyDescent="0.3">
      <c r="A182" s="12"/>
      <c r="B182" s="14" t="s">
        <v>454</v>
      </c>
      <c r="C182" s="122">
        <f>SUM(D182:G182)</f>
        <v>0</v>
      </c>
      <c r="D182" s="122">
        <f>D180</f>
        <v>0</v>
      </c>
      <c r="E182" s="122">
        <f>E180</f>
        <v>0</v>
      </c>
      <c r="F182" s="122">
        <f>F180</f>
        <v>0</v>
      </c>
      <c r="G182" s="122">
        <f>G180</f>
        <v>0</v>
      </c>
    </row>
    <row r="183" spans="1:10" s="88" customFormat="1" ht="14.4" customHeight="1" x14ac:dyDescent="0.3">
      <c r="A183" s="25"/>
      <c r="B183" s="293" t="s">
        <v>455</v>
      </c>
      <c r="C183" s="122">
        <f>SUM(D183:G183)</f>
        <v>261899.68</v>
      </c>
      <c r="D183" s="122">
        <f>D178-D182</f>
        <v>261899.68</v>
      </c>
      <c r="E183" s="122">
        <f>E178-E182</f>
        <v>0</v>
      </c>
      <c r="F183" s="122">
        <f>F178-F182</f>
        <v>0</v>
      </c>
      <c r="G183" s="122">
        <f>G178-G182</f>
        <v>0</v>
      </c>
    </row>
    <row r="184" spans="1:10" s="88" customFormat="1" ht="14.4" customHeight="1" x14ac:dyDescent="0.3">
      <c r="A184" s="10"/>
      <c r="B184" s="133"/>
      <c r="C184" s="298"/>
      <c r="D184" s="298"/>
      <c r="E184" s="298"/>
      <c r="F184" s="298"/>
      <c r="G184" s="298"/>
    </row>
    <row r="185" spans="1:10" s="295" customFormat="1" ht="27.75" customHeight="1" x14ac:dyDescent="0.3">
      <c r="A185" s="368" t="str">
        <f>A127</f>
        <v>ACTIVITATEA DE INVESTITII (inclusiv  reinvestirile din perioada post implementare)</v>
      </c>
      <c r="B185" s="335"/>
      <c r="C185" s="296" t="s">
        <v>286</v>
      </c>
      <c r="D185" s="250" t="s">
        <v>361</v>
      </c>
      <c r="E185" s="296" t="s">
        <v>362</v>
      </c>
      <c r="F185" s="296" t="s">
        <v>363</v>
      </c>
      <c r="G185" s="296" t="s">
        <v>364</v>
      </c>
    </row>
    <row r="186" spans="1:10" s="89" customFormat="1" x14ac:dyDescent="0.3">
      <c r="A186" s="11">
        <v>23</v>
      </c>
      <c r="B186" s="8" t="s">
        <v>433</v>
      </c>
      <c r="C186" s="122">
        <f>SUM(D186:G186)</f>
        <v>0</v>
      </c>
      <c r="D186" s="121">
        <f t="shared" ref="D186:G188" si="8">D128</f>
        <v>0</v>
      </c>
      <c r="E186" s="121">
        <f t="shared" si="8"/>
        <v>0</v>
      </c>
      <c r="F186" s="121">
        <f t="shared" si="8"/>
        <v>0</v>
      </c>
      <c r="G186" s="121">
        <f t="shared" si="8"/>
        <v>0</v>
      </c>
    </row>
    <row r="187" spans="1:10" s="89" customFormat="1" x14ac:dyDescent="0.3">
      <c r="A187" s="11">
        <v>24</v>
      </c>
      <c r="B187" s="8" t="s">
        <v>434</v>
      </c>
      <c r="C187" s="122">
        <f>SUM(D187:G187)</f>
        <v>0</v>
      </c>
      <c r="D187" s="121">
        <f t="shared" si="8"/>
        <v>0</v>
      </c>
      <c r="E187" s="121">
        <f t="shared" si="8"/>
        <v>0</v>
      </c>
      <c r="F187" s="121">
        <f t="shared" si="8"/>
        <v>0</v>
      </c>
      <c r="G187" s="121">
        <f t="shared" si="8"/>
        <v>0</v>
      </c>
    </row>
    <row r="188" spans="1:10" s="89" customFormat="1" x14ac:dyDescent="0.3">
      <c r="A188" s="11">
        <v>25</v>
      </c>
      <c r="B188" s="8" t="s">
        <v>435</v>
      </c>
      <c r="C188" s="122">
        <f>SUM(D188:G188)</f>
        <v>0</v>
      </c>
      <c r="D188" s="121">
        <f t="shared" si="8"/>
        <v>0</v>
      </c>
      <c r="E188" s="121">
        <f t="shared" si="8"/>
        <v>0</v>
      </c>
      <c r="F188" s="121">
        <f t="shared" si="8"/>
        <v>0</v>
      </c>
      <c r="G188" s="121">
        <f t="shared" si="8"/>
        <v>0</v>
      </c>
    </row>
    <row r="189" spans="1:10" s="295" customFormat="1" ht="13.2" customHeight="1" x14ac:dyDescent="0.3">
      <c r="A189" s="12"/>
      <c r="B189" s="14" t="s">
        <v>436</v>
      </c>
      <c r="C189" s="122">
        <f>SUM(D189:G189)</f>
        <v>0</v>
      </c>
      <c r="D189" s="122">
        <f>SUM(D186:D188)</f>
        <v>0</v>
      </c>
      <c r="E189" s="122">
        <f>SUM(E186:E188)</f>
        <v>0</v>
      </c>
      <c r="F189" s="122">
        <f>SUM(F186:F188)</f>
        <v>0</v>
      </c>
      <c r="G189" s="122">
        <f>SUM(G186:G188)</f>
        <v>0</v>
      </c>
    </row>
    <row r="190" spans="1:10" s="88" customFormat="1" ht="14.4" customHeight="1" x14ac:dyDescent="0.3">
      <c r="A190" s="25"/>
      <c r="B190" s="293" t="s">
        <v>437</v>
      </c>
      <c r="C190" s="122">
        <f>SUM(D190:G190)</f>
        <v>0</v>
      </c>
      <c r="D190" s="122">
        <f>-D189</f>
        <v>0</v>
      </c>
      <c r="E190" s="122">
        <f>-E189</f>
        <v>0</v>
      </c>
      <c r="F190" s="122">
        <f>-F189</f>
        <v>0</v>
      </c>
      <c r="G190" s="122">
        <f>-G189</f>
        <v>0</v>
      </c>
    </row>
    <row r="191" spans="1:10" s="88" customFormat="1" ht="14.4" customHeight="1" x14ac:dyDescent="0.3">
      <c r="A191" s="367" t="s">
        <v>438</v>
      </c>
      <c r="B191" s="327"/>
      <c r="C191" s="296" t="s">
        <v>286</v>
      </c>
      <c r="D191" s="296" t="s">
        <v>362</v>
      </c>
      <c r="E191" s="296" t="s">
        <v>363</v>
      </c>
      <c r="F191" s="296" t="s">
        <v>364</v>
      </c>
      <c r="G191" s="296" t="s">
        <v>456</v>
      </c>
    </row>
    <row r="192" spans="1:10" s="88" customFormat="1" ht="15" customHeight="1" x14ac:dyDescent="0.3">
      <c r="A192" s="354"/>
      <c r="B192" s="355"/>
      <c r="C192" s="122">
        <f>SUM(D192:G192)</f>
        <v>261899.68</v>
      </c>
      <c r="D192" s="122">
        <f>D183+D190</f>
        <v>261899.68</v>
      </c>
      <c r="E192" s="122">
        <f>E183+E190</f>
        <v>0</v>
      </c>
      <c r="F192" s="122">
        <f>F183+F190</f>
        <v>0</v>
      </c>
      <c r="G192" s="122">
        <f>G183+G190</f>
        <v>0</v>
      </c>
    </row>
    <row r="193" spans="1:7" s="88" customFormat="1" ht="14.4" customHeight="1" x14ac:dyDescent="0.3">
      <c r="A193" s="133"/>
      <c r="B193" s="133"/>
      <c r="C193" s="298"/>
      <c r="D193" s="298"/>
      <c r="E193" s="298"/>
      <c r="F193" s="298"/>
      <c r="G193" s="298"/>
    </row>
    <row r="194" spans="1:7" s="88" customFormat="1" ht="14.4" customHeight="1" x14ac:dyDescent="0.3">
      <c r="A194" s="367" t="s">
        <v>457</v>
      </c>
      <c r="B194" s="327"/>
      <c r="C194" s="296" t="s">
        <v>286</v>
      </c>
      <c r="D194" s="296" t="s">
        <v>362</v>
      </c>
      <c r="E194" s="296" t="s">
        <v>363</v>
      </c>
      <c r="F194" s="296" t="s">
        <v>364</v>
      </c>
      <c r="G194" s="296" t="s">
        <v>456</v>
      </c>
    </row>
    <row r="195" spans="1:7" s="88" customFormat="1" ht="14.4" customHeight="1" x14ac:dyDescent="0.3">
      <c r="A195" s="354"/>
      <c r="B195" s="355"/>
      <c r="C195" s="122">
        <f>SUM(D195:G195)</f>
        <v>179035.88089503773</v>
      </c>
      <c r="D195" s="122">
        <f>D171+D192</f>
        <v>153256.86819999974</v>
      </c>
      <c r="E195" s="122">
        <f>E171+E192</f>
        <v>7560.4755340400152</v>
      </c>
      <c r="F195" s="122">
        <f>F171+F192</f>
        <v>8351.0239808792248</v>
      </c>
      <c r="G195" s="122">
        <f>G171+G192</f>
        <v>9867.5131801187526</v>
      </c>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1" right="0.47244094488188981" top="0.47244094488188981" bottom="0.45833333333333331" header="0.31496062992125978" footer="0.31496062992125978"/>
  <pageSetup paperSize="9" fitToHeight="0" orientation="landscape" blackAndWhite="1" horizontalDpi="300" verticalDpi="300"/>
  <rowBreaks count="4" manualBreakCount="4">
    <brk id="3" max="16383" man="1"/>
    <brk id="59" max="16383" man="1"/>
    <brk id="114" max="12" man="1"/>
    <brk id="1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Z89"/>
  <sheetViews>
    <sheetView tabSelected="1" workbookViewId="0">
      <selection activeCell="F9" sqref="F9"/>
    </sheetView>
  </sheetViews>
  <sheetFormatPr defaultColWidth="9.109375" defaultRowHeight="13.8" x14ac:dyDescent="0.3"/>
  <cols>
    <col min="1" max="1" width="32.33203125" style="307" customWidth="1"/>
    <col min="2" max="2" width="10.5546875" style="192" customWidth="1"/>
    <col min="3" max="3" width="12.33203125" style="13" customWidth="1"/>
    <col min="4" max="12" width="10.5546875" style="192" customWidth="1"/>
    <col min="13" max="13" width="9.109375" style="231" customWidth="1"/>
    <col min="14" max="15" width="9.109375" style="281" customWidth="1"/>
    <col min="16" max="16384" width="9.109375" style="281"/>
  </cols>
  <sheetData>
    <row r="1" spans="1:13" x14ac:dyDescent="0.3">
      <c r="A1" s="344" t="s">
        <v>458</v>
      </c>
      <c r="B1" s="387"/>
      <c r="C1" s="388"/>
      <c r="D1" s="387"/>
      <c r="E1" s="387"/>
      <c r="F1" s="387"/>
      <c r="G1" s="191"/>
      <c r="H1" s="191"/>
      <c r="I1" s="191"/>
      <c r="J1" s="191"/>
      <c r="K1" s="191"/>
    </row>
    <row r="2" spans="1:13" x14ac:dyDescent="0.3">
      <c r="A2" s="390" t="s">
        <v>459</v>
      </c>
      <c r="B2" s="387"/>
      <c r="C2" s="388"/>
      <c r="D2" s="387"/>
      <c r="E2" s="387"/>
      <c r="F2" s="387"/>
      <c r="G2" s="387"/>
      <c r="H2" s="387"/>
      <c r="I2" s="387"/>
      <c r="J2" s="387"/>
      <c r="K2" s="387"/>
    </row>
    <row r="3" spans="1:13" x14ac:dyDescent="0.3">
      <c r="A3" s="303"/>
      <c r="B3" s="303"/>
      <c r="C3" s="303"/>
      <c r="D3" s="303"/>
      <c r="E3" s="303"/>
      <c r="F3" s="303"/>
      <c r="G3" s="303"/>
      <c r="H3" s="303"/>
      <c r="I3" s="303"/>
      <c r="J3" s="303"/>
      <c r="K3" s="303"/>
    </row>
    <row r="4" spans="1:13" ht="24" customHeight="1" x14ac:dyDescent="0.3">
      <c r="A4" s="242" t="s">
        <v>460</v>
      </c>
      <c r="B4" s="243" t="s">
        <v>461</v>
      </c>
      <c r="C4" s="303"/>
      <c r="D4" s="303"/>
      <c r="E4" s="303"/>
      <c r="F4" s="303"/>
      <c r="G4" s="303"/>
      <c r="H4" s="303"/>
      <c r="I4" s="303"/>
      <c r="J4" s="303"/>
      <c r="K4" s="303"/>
    </row>
    <row r="5" spans="1:13" x14ac:dyDescent="0.3">
      <c r="C5" s="237"/>
    </row>
    <row r="6" spans="1:13" x14ac:dyDescent="0.3">
      <c r="A6" s="193" t="s">
        <v>462</v>
      </c>
      <c r="B6" s="194">
        <v>0.04</v>
      </c>
      <c r="C6" s="394" t="s">
        <v>463</v>
      </c>
      <c r="D6" s="324"/>
      <c r="E6" s="324"/>
      <c r="F6" s="335"/>
      <c r="G6" s="231"/>
      <c r="H6" s="281"/>
      <c r="I6" s="281"/>
      <c r="J6" s="281"/>
      <c r="K6" s="281"/>
      <c r="L6" s="281"/>
      <c r="M6" s="281"/>
    </row>
    <row r="7" spans="1:13" s="64" customFormat="1" x14ac:dyDescent="0.3">
      <c r="A7" s="228"/>
      <c r="B7" s="17" t="s">
        <v>286</v>
      </c>
      <c r="C7" s="17">
        <v>1</v>
      </c>
      <c r="D7" s="17">
        <v>2</v>
      </c>
      <c r="E7" s="17">
        <v>3</v>
      </c>
      <c r="F7" s="17">
        <v>4</v>
      </c>
      <c r="G7" s="48"/>
    </row>
    <row r="8" spans="1:13" s="197" customFormat="1" ht="14.4" customHeight="1" x14ac:dyDescent="0.3">
      <c r="A8" s="195" t="s">
        <v>464</v>
      </c>
      <c r="B8" s="121">
        <f t="shared" ref="B8:B17" si="0">SUM(C8:F8)</f>
        <v>772332.25890239794</v>
      </c>
      <c r="C8" s="198">
        <f>'3A-Proiectii_fin_investitie'!D149</f>
        <v>0</v>
      </c>
      <c r="D8" s="198">
        <f>'3A-Proiectii_fin_investitie'!E149</f>
        <v>219175.37076959992</v>
      </c>
      <c r="E8" s="198">
        <f>'3A-Proiectii_fin_investitie'!F149</f>
        <v>260923.06043999922</v>
      </c>
      <c r="F8" s="198">
        <f>'3A-Proiectii_fin_investitie'!G149</f>
        <v>292233.8276927988</v>
      </c>
      <c r="G8" s="196"/>
    </row>
    <row r="9" spans="1:13" s="197" customFormat="1" ht="14.4" customHeight="1" x14ac:dyDescent="0.3">
      <c r="A9" s="195" t="s">
        <v>465</v>
      </c>
      <c r="B9" s="121">
        <f t="shared" si="0"/>
        <v>0</v>
      </c>
      <c r="C9" s="198"/>
      <c r="D9" s="198"/>
      <c r="E9" s="198"/>
      <c r="F9" s="198">
        <v>0</v>
      </c>
      <c r="G9" s="196"/>
    </row>
    <row r="10" spans="1:13" s="202" customFormat="1" ht="14.4" customHeight="1" x14ac:dyDescent="0.3">
      <c r="A10" s="199" t="s">
        <v>466</v>
      </c>
      <c r="B10" s="122">
        <f t="shared" si="0"/>
        <v>772332.25890239794</v>
      </c>
      <c r="C10" s="200">
        <f>SUM(C8:C9)</f>
        <v>0</v>
      </c>
      <c r="D10" s="200">
        <f>SUM(D8:D9)</f>
        <v>219175.37076959992</v>
      </c>
      <c r="E10" s="200">
        <f>SUM(E8:E9)</f>
        <v>260923.06043999922</v>
      </c>
      <c r="F10" s="200">
        <f>SUM(F8:F9)</f>
        <v>292233.8276927988</v>
      </c>
      <c r="G10" s="201"/>
    </row>
    <row r="11" spans="1:13" s="197" customFormat="1" ht="14.4" customHeight="1" x14ac:dyDescent="0.3">
      <c r="A11" s="195" t="s">
        <v>467</v>
      </c>
      <c r="B11" s="121">
        <f t="shared" si="0"/>
        <v>565398.83478600055</v>
      </c>
      <c r="C11" s="121">
        <f>'3A-Proiectii_fin_investitie'!D165-'3A-Proiectii_fin_investitie'!D164</f>
        <v>103752.55380000011</v>
      </c>
      <c r="D11" s="121">
        <f>'3A-Proiectii_fin_investitie'!E165-'3A-Proiectii_fin_investitie'!E164</f>
        <v>125009.16581800004</v>
      </c>
      <c r="E11" s="121">
        <f>'3A-Proiectii_fin_investitie'!F165-'3A-Proiectii_fin_investitie'!F164</f>
        <v>157018.34651600022</v>
      </c>
      <c r="F11" s="121">
        <f>'3A-Proiectii_fin_investitie'!G165-'3A-Proiectii_fin_investitie'!G164</f>
        <v>179618.76865200014</v>
      </c>
      <c r="G11" s="196"/>
    </row>
    <row r="12" spans="1:13" s="197" customFormat="1" ht="14.4" customHeight="1" x14ac:dyDescent="0.3">
      <c r="A12" s="195" t="s">
        <v>468</v>
      </c>
      <c r="B12" s="121">
        <f t="shared" si="0"/>
        <v>0</v>
      </c>
      <c r="C12" s="121">
        <f>'3A-Proiectii_fin_investitie'!D189</f>
        <v>0</v>
      </c>
      <c r="D12" s="121">
        <f>'3A-Proiectii_fin_investitie'!E189</f>
        <v>0</v>
      </c>
      <c r="E12" s="121">
        <f>'3A-Proiectii_fin_investitie'!F189</f>
        <v>0</v>
      </c>
      <c r="F12" s="121">
        <f>'3A-Proiectii_fin_investitie'!G189</f>
        <v>0</v>
      </c>
      <c r="G12" s="196"/>
    </row>
    <row r="13" spans="1:13" s="197" customFormat="1" ht="14.4" customHeight="1" x14ac:dyDescent="0.3">
      <c r="A13" s="195" t="s">
        <v>469</v>
      </c>
      <c r="B13" s="121">
        <f t="shared" si="0"/>
        <v>205531.53021039965</v>
      </c>
      <c r="C13" s="121">
        <f>IF($B$4="NU",-'2B-Investitie'!E25+'3A-Proiectii_fin_investitie'!D167-'3A-Proiectii_fin_investitie'!D168,0)</f>
        <v>-85584.181999999972</v>
      </c>
      <c r="D13" s="121">
        <f>IF($B$4="NU",-'2B-Investitie'!F25+'3A-Proiectii_fin_investitie'!E167-'3A-Proiectii_fin_investitie'!E168,0)</f>
        <v>88963.407807599928</v>
      </c>
      <c r="E13" s="121">
        <f>IF($B$4="NU",-'2B-Investitie'!G25+'3A-Proiectii_fin_investitie'!F167-'3A-Proiectii_fin_investitie'!F168,0)</f>
        <v>97594.037195999816</v>
      </c>
      <c r="F13" s="121">
        <f>IF($B$4="NU",-'2B-Investitie'!H25+'3A-Proiectii_fin_investitie'!G167-'3A-Proiectii_fin_investitie'!G168,0)</f>
        <v>104558.26720679988</v>
      </c>
      <c r="G13" s="196"/>
    </row>
    <row r="14" spans="1:13" s="202" customFormat="1" ht="14.4" customHeight="1" x14ac:dyDescent="0.3">
      <c r="A14" s="199" t="s">
        <v>470</v>
      </c>
      <c r="B14" s="122">
        <f t="shared" si="0"/>
        <v>770930.3649964002</v>
      </c>
      <c r="C14" s="122">
        <f>SUM(C11:C13)</f>
        <v>18168.371800000139</v>
      </c>
      <c r="D14" s="122">
        <f>SUM(D11:D13)</f>
        <v>213972.57362559997</v>
      </c>
      <c r="E14" s="122">
        <f>SUM(E11:E13)</f>
        <v>254612.38371200004</v>
      </c>
      <c r="F14" s="122">
        <f>SUM(F11:F13)</f>
        <v>284177.03585880005</v>
      </c>
      <c r="G14" s="201"/>
    </row>
    <row r="15" spans="1:13" s="202" customFormat="1" ht="14.4" customHeight="1" x14ac:dyDescent="0.3">
      <c r="A15" s="199" t="s">
        <v>471</v>
      </c>
      <c r="B15" s="122">
        <f t="shared" si="0"/>
        <v>1401.893905997742</v>
      </c>
      <c r="C15" s="122">
        <f>C10-C14</f>
        <v>-18168.371800000139</v>
      </c>
      <c r="D15" s="122">
        <f>D10-D14</f>
        <v>5202.7971439999528</v>
      </c>
      <c r="E15" s="122">
        <f>E10-E14</f>
        <v>6310.6767279991764</v>
      </c>
      <c r="F15" s="122">
        <f>F10-F14</f>
        <v>8056.7918339987518</v>
      </c>
      <c r="G15" s="201"/>
    </row>
    <row r="16" spans="1:13" s="204" customFormat="1" ht="14.4" customHeight="1" x14ac:dyDescent="0.3">
      <c r="A16" s="199" t="s">
        <v>472</v>
      </c>
      <c r="B16" s="122">
        <f t="shared" si="0"/>
        <v>-162.1617867779787</v>
      </c>
      <c r="C16" s="122">
        <f>C15*POWER(1+$B$6,-C7)</f>
        <v>-17469.588269230902</v>
      </c>
      <c r="D16" s="122">
        <f>D15*POWER(1+$B$6,-D7)</f>
        <v>4810.2784245561688</v>
      </c>
      <c r="E16" s="122">
        <f>E15*POWER(1+$B$6,-E7)</f>
        <v>5610.1686319405517</v>
      </c>
      <c r="F16" s="122">
        <f>F15*POWER(1+$B$6,-F7)</f>
        <v>6886.9794259562032</v>
      </c>
      <c r="G16" s="203"/>
    </row>
    <row r="17" spans="1:13" s="202" customFormat="1" ht="14.4" customHeight="1" x14ac:dyDescent="0.3">
      <c r="A17" s="199" t="s">
        <v>473</v>
      </c>
      <c r="B17" s="122">
        <f t="shared" si="0"/>
        <v>-86994.653846153844</v>
      </c>
      <c r="C17" s="122">
        <f>IF($B$4="NU",(C12-'2B-Investitie'!E25)*POWER(1+$B$6,-C7),C12*POWER(1+$B$6,-C7))</f>
        <v>-86994.653846153844</v>
      </c>
      <c r="D17" s="122">
        <f>IF($B$4="NU",(D12-'2B-Investitie'!F25)*POWER(1+$B$6,-D7),D12*POWER(1+$B$6,-D7))</f>
        <v>0</v>
      </c>
      <c r="E17" s="122">
        <f>IF($B$4="NU",(E12-'2B-Investitie'!G25)*POWER(1+$B$6,-E7),E12*POWER(1+$B$6,-E7))</f>
        <v>0</v>
      </c>
      <c r="F17" s="122">
        <f>IF($B$4="NU",(F12-'2B-Investitie'!H25)*POWER(1+$B$6,-F7),F12*POWER(1+$B$6,-F7))</f>
        <v>0</v>
      </c>
      <c r="G17" s="201"/>
    </row>
    <row r="18" spans="1:13" s="208" customFormat="1" ht="15.6" customHeight="1" x14ac:dyDescent="0.3">
      <c r="A18" s="205" t="s">
        <v>474</v>
      </c>
      <c r="B18" s="153">
        <f>SUM(C16:F16)</f>
        <v>-162.1617867779787</v>
      </c>
      <c r="C18" s="206"/>
      <c r="D18" s="225"/>
      <c r="E18" s="207"/>
      <c r="F18" s="207"/>
      <c r="G18" s="207"/>
      <c r="H18" s="207"/>
      <c r="I18" s="207"/>
      <c r="J18" s="207"/>
      <c r="K18" s="207"/>
      <c r="L18" s="207"/>
      <c r="M18" s="201"/>
    </row>
    <row r="19" spans="1:13" s="208" customFormat="1" ht="15.6" customHeight="1" x14ac:dyDescent="0.3">
      <c r="A19" s="199" t="s">
        <v>475</v>
      </c>
      <c r="B19" s="209">
        <f>IFERROR(IRR(C15:F15),"")</f>
        <v>3.5438189841448864E-2</v>
      </c>
      <c r="C19" s="246">
        <f>(IRR(C15:F15))</f>
        <v>3.5438189841448864E-2</v>
      </c>
      <c r="D19" s="225"/>
      <c r="E19" s="207"/>
      <c r="F19" s="207"/>
      <c r="G19" s="207"/>
      <c r="H19" s="207"/>
      <c r="I19" s="207"/>
      <c r="J19" s="207"/>
      <c r="K19" s="207"/>
      <c r="L19" s="207"/>
      <c r="M19" s="201"/>
    </row>
    <row r="20" spans="1:13" x14ac:dyDescent="0.3">
      <c r="A20" s="210"/>
      <c r="B20" s="211"/>
      <c r="C20" s="211"/>
      <c r="D20" s="211"/>
      <c r="E20" s="211"/>
    </row>
    <row r="22" spans="1:13" s="305" customFormat="1" ht="64.5" customHeight="1" x14ac:dyDescent="0.3">
      <c r="A22" s="392" t="s">
        <v>476</v>
      </c>
      <c r="B22" s="393"/>
      <c r="C22" s="393"/>
      <c r="D22" s="393"/>
      <c r="E22" s="393"/>
      <c r="F22" s="393"/>
      <c r="G22" s="393"/>
      <c r="H22" s="393"/>
      <c r="I22" s="393"/>
      <c r="J22" s="393"/>
      <c r="K22" s="393"/>
      <c r="L22" s="393"/>
      <c r="M22" s="231"/>
    </row>
    <row r="23" spans="1:13" s="305" customFormat="1" x14ac:dyDescent="0.3">
      <c r="A23" s="90"/>
      <c r="B23" s="91"/>
      <c r="C23" s="91"/>
      <c r="D23" s="91"/>
      <c r="E23" s="91"/>
      <c r="F23" s="91"/>
      <c r="G23" s="91"/>
      <c r="H23" s="91"/>
      <c r="I23" s="91"/>
      <c r="J23" s="91"/>
      <c r="K23" s="92"/>
      <c r="L23" s="92"/>
      <c r="M23" s="231"/>
    </row>
    <row r="24" spans="1:13" s="305" customFormat="1" ht="36" customHeight="1" x14ac:dyDescent="0.3">
      <c r="A24" s="302" t="s">
        <v>477</v>
      </c>
      <c r="B24" s="294" t="s">
        <v>478</v>
      </c>
      <c r="C24" s="294" t="s">
        <v>479</v>
      </c>
      <c r="D24" s="294" t="s">
        <v>480</v>
      </c>
      <c r="E24" s="294" t="s">
        <v>481</v>
      </c>
      <c r="G24" s="91"/>
      <c r="H24" s="91"/>
      <c r="I24" s="91"/>
      <c r="J24" s="91"/>
      <c r="K24" s="92"/>
      <c r="L24" s="92"/>
      <c r="M24" s="231"/>
    </row>
    <row r="25" spans="1:13" s="305" customFormat="1" x14ac:dyDescent="0.3">
      <c r="A25" s="146" t="s">
        <v>482</v>
      </c>
      <c r="B25" s="140">
        <v>476181.24</v>
      </c>
      <c r="C25" s="141">
        <f t="shared" ref="C25:C55" si="1">B25/$B$56</f>
        <v>1</v>
      </c>
      <c r="D25" s="140">
        <v>12</v>
      </c>
      <c r="E25" s="142">
        <f t="shared" ref="E25:E55" si="2">ROUND(C25*D25,0)</f>
        <v>12</v>
      </c>
      <c r="G25" s="91"/>
      <c r="H25" s="91"/>
      <c r="I25" s="91"/>
      <c r="J25" s="91"/>
      <c r="K25" s="92"/>
      <c r="L25" s="92"/>
      <c r="M25" s="231"/>
    </row>
    <row r="26" spans="1:13" s="305" customFormat="1" x14ac:dyDescent="0.3">
      <c r="A26" s="146" t="s">
        <v>482</v>
      </c>
      <c r="B26" s="140">
        <v>0</v>
      </c>
      <c r="C26" s="141">
        <f t="shared" si="1"/>
        <v>0</v>
      </c>
      <c r="D26" s="140">
        <v>0</v>
      </c>
      <c r="E26" s="142">
        <f t="shared" si="2"/>
        <v>0</v>
      </c>
      <c r="G26" s="91"/>
      <c r="H26" s="91"/>
      <c r="I26" s="91"/>
      <c r="J26" s="91"/>
      <c r="K26" s="92"/>
      <c r="L26" s="92"/>
      <c r="M26" s="231"/>
    </row>
    <row r="27" spans="1:13" s="305" customFormat="1" x14ac:dyDescent="0.3">
      <c r="A27" s="146" t="s">
        <v>482</v>
      </c>
      <c r="B27" s="140">
        <v>0</v>
      </c>
      <c r="C27" s="141">
        <f t="shared" si="1"/>
        <v>0</v>
      </c>
      <c r="D27" s="140">
        <v>0</v>
      </c>
      <c r="E27" s="142">
        <f t="shared" si="2"/>
        <v>0</v>
      </c>
      <c r="G27" s="91"/>
      <c r="H27" s="91"/>
      <c r="I27" s="91"/>
      <c r="J27" s="91"/>
      <c r="K27" s="92"/>
      <c r="L27" s="92"/>
      <c r="M27" s="231"/>
    </row>
    <row r="28" spans="1:13" s="305" customFormat="1" x14ac:dyDescent="0.3">
      <c r="A28" s="146" t="s">
        <v>482</v>
      </c>
      <c r="B28" s="140">
        <v>0</v>
      </c>
      <c r="C28" s="141">
        <f t="shared" si="1"/>
        <v>0</v>
      </c>
      <c r="D28" s="140">
        <v>0</v>
      </c>
      <c r="E28" s="142">
        <f t="shared" si="2"/>
        <v>0</v>
      </c>
      <c r="G28" s="91"/>
      <c r="H28" s="91"/>
      <c r="I28" s="91"/>
      <c r="J28" s="91"/>
      <c r="K28" s="92"/>
      <c r="L28" s="92"/>
      <c r="M28" s="231"/>
    </row>
    <row r="29" spans="1:13" s="305" customFormat="1" x14ac:dyDescent="0.3">
      <c r="A29" s="146" t="s">
        <v>482</v>
      </c>
      <c r="B29" s="140">
        <v>0</v>
      </c>
      <c r="C29" s="141">
        <f t="shared" si="1"/>
        <v>0</v>
      </c>
      <c r="D29" s="140">
        <v>0</v>
      </c>
      <c r="E29" s="142">
        <f t="shared" si="2"/>
        <v>0</v>
      </c>
      <c r="G29" s="91"/>
      <c r="H29" s="91"/>
      <c r="I29" s="91"/>
      <c r="J29" s="91"/>
      <c r="K29" s="92"/>
      <c r="L29" s="92"/>
      <c r="M29" s="231"/>
    </row>
    <row r="30" spans="1:13" s="305" customFormat="1" x14ac:dyDescent="0.3">
      <c r="A30" s="146" t="s">
        <v>482</v>
      </c>
      <c r="B30" s="140">
        <v>0</v>
      </c>
      <c r="C30" s="141">
        <f t="shared" si="1"/>
        <v>0</v>
      </c>
      <c r="D30" s="140">
        <v>0</v>
      </c>
      <c r="E30" s="142">
        <f t="shared" si="2"/>
        <v>0</v>
      </c>
      <c r="G30" s="91"/>
      <c r="H30" s="91"/>
      <c r="I30" s="91"/>
      <c r="J30" s="91"/>
      <c r="K30" s="92"/>
      <c r="L30" s="92"/>
      <c r="M30" s="231"/>
    </row>
    <row r="31" spans="1:13" s="305" customFormat="1" x14ac:dyDescent="0.3">
      <c r="A31" s="146" t="s">
        <v>482</v>
      </c>
      <c r="B31" s="140">
        <v>0</v>
      </c>
      <c r="C31" s="141">
        <f t="shared" si="1"/>
        <v>0</v>
      </c>
      <c r="D31" s="140">
        <v>0</v>
      </c>
      <c r="E31" s="142">
        <f t="shared" si="2"/>
        <v>0</v>
      </c>
      <c r="G31" s="91"/>
      <c r="H31" s="91"/>
      <c r="I31" s="91"/>
      <c r="J31" s="91"/>
      <c r="K31" s="92"/>
      <c r="L31" s="92"/>
      <c r="M31" s="231"/>
    </row>
    <row r="32" spans="1:13" s="305" customFormat="1" x14ac:dyDescent="0.3">
      <c r="A32" s="146" t="s">
        <v>482</v>
      </c>
      <c r="B32" s="140">
        <v>0</v>
      </c>
      <c r="C32" s="141">
        <f t="shared" si="1"/>
        <v>0</v>
      </c>
      <c r="D32" s="140">
        <v>0</v>
      </c>
      <c r="E32" s="142">
        <f t="shared" si="2"/>
        <v>0</v>
      </c>
      <c r="G32" s="91"/>
      <c r="H32" s="91"/>
      <c r="I32" s="91"/>
      <c r="J32" s="91"/>
      <c r="K32" s="92"/>
      <c r="L32" s="92"/>
      <c r="M32" s="231"/>
    </row>
    <row r="33" spans="1:13" s="305" customFormat="1" x14ac:dyDescent="0.3">
      <c r="A33" s="146" t="s">
        <v>482</v>
      </c>
      <c r="B33" s="140">
        <v>0</v>
      </c>
      <c r="C33" s="141">
        <f t="shared" si="1"/>
        <v>0</v>
      </c>
      <c r="D33" s="140">
        <v>0</v>
      </c>
      <c r="E33" s="142">
        <f t="shared" si="2"/>
        <v>0</v>
      </c>
      <c r="G33" s="91"/>
      <c r="H33" s="91"/>
      <c r="I33" s="91"/>
      <c r="J33" s="91"/>
      <c r="K33" s="92"/>
      <c r="L33" s="92"/>
      <c r="M33" s="231"/>
    </row>
    <row r="34" spans="1:13" s="305" customFormat="1" x14ac:dyDescent="0.3">
      <c r="A34" s="146" t="s">
        <v>482</v>
      </c>
      <c r="B34" s="140">
        <v>0</v>
      </c>
      <c r="C34" s="141">
        <f t="shared" si="1"/>
        <v>0</v>
      </c>
      <c r="D34" s="140">
        <v>0</v>
      </c>
      <c r="E34" s="142">
        <f t="shared" si="2"/>
        <v>0</v>
      </c>
      <c r="G34" s="91"/>
      <c r="H34" s="91"/>
      <c r="I34" s="91"/>
      <c r="J34" s="91"/>
      <c r="K34" s="92"/>
      <c r="L34" s="92"/>
      <c r="M34" s="231"/>
    </row>
    <row r="35" spans="1:13" s="305" customFormat="1" x14ac:dyDescent="0.3">
      <c r="A35" s="146" t="s">
        <v>482</v>
      </c>
      <c r="B35" s="140">
        <v>0</v>
      </c>
      <c r="C35" s="141">
        <f t="shared" si="1"/>
        <v>0</v>
      </c>
      <c r="D35" s="140">
        <v>0</v>
      </c>
      <c r="E35" s="142">
        <f t="shared" si="2"/>
        <v>0</v>
      </c>
      <c r="G35" s="91"/>
      <c r="H35" s="91"/>
      <c r="I35" s="91"/>
      <c r="J35" s="91"/>
      <c r="K35" s="92"/>
      <c r="L35" s="92"/>
      <c r="M35" s="231"/>
    </row>
    <row r="36" spans="1:13" s="305" customFormat="1" x14ac:dyDescent="0.3">
      <c r="A36" s="146" t="s">
        <v>482</v>
      </c>
      <c r="B36" s="140">
        <v>0</v>
      </c>
      <c r="C36" s="141">
        <f t="shared" si="1"/>
        <v>0</v>
      </c>
      <c r="D36" s="140">
        <v>0</v>
      </c>
      <c r="E36" s="142">
        <f t="shared" si="2"/>
        <v>0</v>
      </c>
      <c r="G36" s="91"/>
      <c r="H36" s="91"/>
      <c r="I36" s="91"/>
      <c r="J36" s="91"/>
      <c r="K36" s="92"/>
      <c r="L36" s="92"/>
      <c r="M36" s="231"/>
    </row>
    <row r="37" spans="1:13" s="305" customFormat="1" x14ac:dyDescent="0.3">
      <c r="A37" s="146" t="s">
        <v>482</v>
      </c>
      <c r="B37" s="140">
        <v>0</v>
      </c>
      <c r="C37" s="141">
        <f t="shared" si="1"/>
        <v>0</v>
      </c>
      <c r="D37" s="140">
        <v>0</v>
      </c>
      <c r="E37" s="142">
        <f t="shared" si="2"/>
        <v>0</v>
      </c>
      <c r="G37" s="91"/>
      <c r="H37" s="91"/>
      <c r="I37" s="91"/>
      <c r="J37" s="91"/>
      <c r="K37" s="92"/>
      <c r="L37" s="92"/>
      <c r="M37" s="231"/>
    </row>
    <row r="38" spans="1:13" s="305" customFormat="1" x14ac:dyDescent="0.3">
      <c r="A38" s="146" t="s">
        <v>482</v>
      </c>
      <c r="B38" s="140">
        <v>0</v>
      </c>
      <c r="C38" s="141">
        <f t="shared" si="1"/>
        <v>0</v>
      </c>
      <c r="D38" s="140">
        <v>0</v>
      </c>
      <c r="E38" s="142">
        <f t="shared" si="2"/>
        <v>0</v>
      </c>
      <c r="G38" s="91"/>
      <c r="H38" s="91"/>
      <c r="I38" s="91"/>
      <c r="J38" s="91"/>
      <c r="K38" s="92"/>
      <c r="L38" s="92"/>
      <c r="M38" s="231"/>
    </row>
    <row r="39" spans="1:13" s="305" customFormat="1" x14ac:dyDescent="0.3">
      <c r="A39" s="146" t="s">
        <v>482</v>
      </c>
      <c r="B39" s="140">
        <v>0</v>
      </c>
      <c r="C39" s="141">
        <f t="shared" si="1"/>
        <v>0</v>
      </c>
      <c r="D39" s="140">
        <v>0</v>
      </c>
      <c r="E39" s="142">
        <f t="shared" si="2"/>
        <v>0</v>
      </c>
      <c r="G39" s="91"/>
      <c r="H39" s="91"/>
      <c r="I39" s="91"/>
      <c r="J39" s="91"/>
      <c r="K39" s="92"/>
      <c r="L39" s="92"/>
      <c r="M39" s="231"/>
    </row>
    <row r="40" spans="1:13" s="305" customFormat="1" x14ac:dyDescent="0.3">
      <c r="A40" s="146" t="s">
        <v>482</v>
      </c>
      <c r="B40" s="140">
        <v>0</v>
      </c>
      <c r="C40" s="141">
        <f t="shared" si="1"/>
        <v>0</v>
      </c>
      <c r="D40" s="140">
        <v>0</v>
      </c>
      <c r="E40" s="142">
        <f t="shared" si="2"/>
        <v>0</v>
      </c>
      <c r="G40" s="91"/>
      <c r="H40" s="91"/>
      <c r="I40" s="91"/>
      <c r="J40" s="91"/>
      <c r="K40" s="92"/>
      <c r="L40" s="92"/>
      <c r="M40" s="231"/>
    </row>
    <row r="41" spans="1:13" s="305" customFormat="1" x14ac:dyDescent="0.3">
      <c r="A41" s="146" t="s">
        <v>482</v>
      </c>
      <c r="B41" s="140">
        <v>0</v>
      </c>
      <c r="C41" s="141">
        <f t="shared" si="1"/>
        <v>0</v>
      </c>
      <c r="D41" s="140">
        <v>0</v>
      </c>
      <c r="E41" s="142">
        <f t="shared" si="2"/>
        <v>0</v>
      </c>
      <c r="G41" s="91"/>
      <c r="H41" s="91"/>
      <c r="I41" s="91"/>
      <c r="J41" s="91"/>
      <c r="K41" s="92"/>
      <c r="L41" s="92"/>
      <c r="M41" s="231"/>
    </row>
    <row r="42" spans="1:13" s="305" customFormat="1" x14ac:dyDescent="0.3">
      <c r="A42" s="146" t="s">
        <v>482</v>
      </c>
      <c r="B42" s="140">
        <v>0</v>
      </c>
      <c r="C42" s="141">
        <f t="shared" si="1"/>
        <v>0</v>
      </c>
      <c r="D42" s="140">
        <v>0</v>
      </c>
      <c r="E42" s="142">
        <f t="shared" si="2"/>
        <v>0</v>
      </c>
      <c r="G42" s="91"/>
      <c r="H42" s="91"/>
      <c r="I42" s="91"/>
      <c r="J42" s="91"/>
      <c r="K42" s="92"/>
      <c r="L42" s="92"/>
      <c r="M42" s="231"/>
    </row>
    <row r="43" spans="1:13" s="305" customFormat="1" x14ac:dyDescent="0.3">
      <c r="A43" s="146" t="s">
        <v>482</v>
      </c>
      <c r="B43" s="140">
        <v>0</v>
      </c>
      <c r="C43" s="141">
        <f t="shared" si="1"/>
        <v>0</v>
      </c>
      <c r="D43" s="140">
        <v>0</v>
      </c>
      <c r="E43" s="142">
        <f t="shared" si="2"/>
        <v>0</v>
      </c>
      <c r="G43" s="91"/>
      <c r="H43" s="91"/>
      <c r="I43" s="91"/>
      <c r="J43" s="91"/>
      <c r="K43" s="92"/>
      <c r="L43" s="92"/>
      <c r="M43" s="231"/>
    </row>
    <row r="44" spans="1:13" s="305" customFormat="1" x14ac:dyDescent="0.3">
      <c r="A44" s="146" t="s">
        <v>482</v>
      </c>
      <c r="B44" s="140">
        <v>0</v>
      </c>
      <c r="C44" s="141">
        <f t="shared" si="1"/>
        <v>0</v>
      </c>
      <c r="D44" s="140">
        <v>0</v>
      </c>
      <c r="E44" s="142">
        <f t="shared" si="2"/>
        <v>0</v>
      </c>
      <c r="G44" s="91"/>
      <c r="H44" s="91"/>
      <c r="I44" s="91"/>
      <c r="J44" s="91"/>
      <c r="K44" s="92"/>
      <c r="L44" s="92"/>
      <c r="M44" s="231"/>
    </row>
    <row r="45" spans="1:13" s="305" customFormat="1" x14ac:dyDescent="0.3">
      <c r="A45" s="146" t="s">
        <v>482</v>
      </c>
      <c r="B45" s="140">
        <v>0</v>
      </c>
      <c r="C45" s="141">
        <f t="shared" si="1"/>
        <v>0</v>
      </c>
      <c r="D45" s="140">
        <v>0</v>
      </c>
      <c r="E45" s="142">
        <f t="shared" si="2"/>
        <v>0</v>
      </c>
      <c r="G45" s="91"/>
      <c r="H45" s="91"/>
      <c r="I45" s="91"/>
      <c r="J45" s="91"/>
      <c r="K45" s="92"/>
      <c r="L45" s="92"/>
      <c r="M45" s="231"/>
    </row>
    <row r="46" spans="1:13" s="305" customFormat="1" x14ac:dyDescent="0.3">
      <c r="A46" s="146" t="s">
        <v>482</v>
      </c>
      <c r="B46" s="140">
        <v>0</v>
      </c>
      <c r="C46" s="141">
        <f t="shared" si="1"/>
        <v>0</v>
      </c>
      <c r="D46" s="140">
        <v>0</v>
      </c>
      <c r="E46" s="142">
        <f t="shared" si="2"/>
        <v>0</v>
      </c>
      <c r="G46" s="91"/>
      <c r="H46" s="91"/>
      <c r="I46" s="91"/>
      <c r="J46" s="91"/>
      <c r="K46" s="92"/>
      <c r="L46" s="92"/>
      <c r="M46" s="231"/>
    </row>
    <row r="47" spans="1:13" s="305" customFormat="1" x14ac:dyDescent="0.3">
      <c r="A47" s="146" t="s">
        <v>482</v>
      </c>
      <c r="B47" s="140">
        <v>0</v>
      </c>
      <c r="C47" s="141">
        <f t="shared" si="1"/>
        <v>0</v>
      </c>
      <c r="D47" s="140">
        <v>0</v>
      </c>
      <c r="E47" s="142">
        <f t="shared" si="2"/>
        <v>0</v>
      </c>
      <c r="G47" s="91"/>
      <c r="H47" s="91"/>
      <c r="I47" s="91"/>
      <c r="J47" s="91"/>
      <c r="K47" s="92"/>
      <c r="L47" s="92"/>
      <c r="M47" s="231"/>
    </row>
    <row r="48" spans="1:13" s="305" customFormat="1" x14ac:dyDescent="0.3">
      <c r="A48" s="146" t="s">
        <v>482</v>
      </c>
      <c r="B48" s="140">
        <v>0</v>
      </c>
      <c r="C48" s="141">
        <f t="shared" si="1"/>
        <v>0</v>
      </c>
      <c r="D48" s="140">
        <v>0</v>
      </c>
      <c r="E48" s="142">
        <f t="shared" si="2"/>
        <v>0</v>
      </c>
      <c r="G48" s="91"/>
      <c r="H48" s="91"/>
      <c r="I48" s="91"/>
      <c r="J48" s="91"/>
      <c r="K48" s="92"/>
      <c r="L48" s="92"/>
      <c r="M48" s="231"/>
    </row>
    <row r="49" spans="1:13" s="305" customFormat="1" x14ac:dyDescent="0.3">
      <c r="A49" s="146" t="s">
        <v>482</v>
      </c>
      <c r="B49" s="140">
        <v>0</v>
      </c>
      <c r="C49" s="141">
        <f t="shared" si="1"/>
        <v>0</v>
      </c>
      <c r="D49" s="140">
        <v>0</v>
      </c>
      <c r="E49" s="142">
        <f t="shared" si="2"/>
        <v>0</v>
      </c>
      <c r="G49" s="91"/>
      <c r="H49" s="91"/>
      <c r="I49" s="91"/>
      <c r="J49" s="91"/>
      <c r="K49" s="92"/>
      <c r="L49" s="92"/>
      <c r="M49" s="231"/>
    </row>
    <row r="50" spans="1:13" s="305" customFormat="1" x14ac:dyDescent="0.3">
      <c r="A50" s="146" t="s">
        <v>482</v>
      </c>
      <c r="B50" s="140">
        <v>0</v>
      </c>
      <c r="C50" s="141">
        <f t="shared" si="1"/>
        <v>0</v>
      </c>
      <c r="D50" s="140">
        <v>0</v>
      </c>
      <c r="E50" s="142">
        <f t="shared" si="2"/>
        <v>0</v>
      </c>
      <c r="G50" s="91"/>
      <c r="H50" s="91"/>
      <c r="I50" s="91"/>
      <c r="J50" s="91"/>
      <c r="K50" s="92"/>
      <c r="L50" s="92"/>
      <c r="M50" s="231"/>
    </row>
    <row r="51" spans="1:13" s="305" customFormat="1" x14ac:dyDescent="0.3">
      <c r="A51" s="146" t="s">
        <v>482</v>
      </c>
      <c r="B51" s="140">
        <v>0</v>
      </c>
      <c r="C51" s="141">
        <f t="shared" si="1"/>
        <v>0</v>
      </c>
      <c r="D51" s="140">
        <v>0</v>
      </c>
      <c r="E51" s="142">
        <f t="shared" si="2"/>
        <v>0</v>
      </c>
      <c r="G51" s="91"/>
      <c r="H51" s="91"/>
      <c r="I51" s="91"/>
      <c r="J51" s="91"/>
      <c r="K51" s="92"/>
      <c r="L51" s="92"/>
      <c r="M51" s="231"/>
    </row>
    <row r="52" spans="1:13" s="305" customFormat="1" x14ac:dyDescent="0.3">
      <c r="A52" s="146" t="s">
        <v>482</v>
      </c>
      <c r="B52" s="140">
        <v>0</v>
      </c>
      <c r="C52" s="141">
        <f t="shared" si="1"/>
        <v>0</v>
      </c>
      <c r="D52" s="140">
        <v>0</v>
      </c>
      <c r="E52" s="142">
        <f t="shared" si="2"/>
        <v>0</v>
      </c>
      <c r="G52" s="91"/>
      <c r="H52" s="91"/>
      <c r="I52" s="91"/>
      <c r="J52" s="91"/>
      <c r="K52" s="92"/>
      <c r="L52" s="92"/>
      <c r="M52" s="231"/>
    </row>
    <row r="53" spans="1:13" s="305" customFormat="1" x14ac:dyDescent="0.3">
      <c r="A53" s="146" t="s">
        <v>482</v>
      </c>
      <c r="B53" s="140">
        <v>0</v>
      </c>
      <c r="C53" s="141">
        <f t="shared" si="1"/>
        <v>0</v>
      </c>
      <c r="D53" s="140">
        <v>0</v>
      </c>
      <c r="E53" s="142">
        <f t="shared" si="2"/>
        <v>0</v>
      </c>
      <c r="G53" s="91"/>
      <c r="H53" s="91"/>
      <c r="I53" s="91"/>
      <c r="J53" s="91"/>
      <c r="K53" s="92"/>
      <c r="L53" s="92"/>
      <c r="M53" s="231"/>
    </row>
    <row r="54" spans="1:13" s="305" customFormat="1" x14ac:dyDescent="0.3">
      <c r="A54" s="146" t="s">
        <v>482</v>
      </c>
      <c r="B54" s="140">
        <v>0</v>
      </c>
      <c r="C54" s="141">
        <f t="shared" si="1"/>
        <v>0</v>
      </c>
      <c r="D54" s="140">
        <v>0</v>
      </c>
      <c r="E54" s="142">
        <f t="shared" si="2"/>
        <v>0</v>
      </c>
      <c r="G54" s="91"/>
      <c r="H54" s="91"/>
      <c r="I54" s="91"/>
      <c r="J54" s="91"/>
      <c r="K54" s="92"/>
      <c r="L54" s="92"/>
      <c r="M54" s="231"/>
    </row>
    <row r="55" spans="1:13" s="305" customFormat="1" x14ac:dyDescent="0.3">
      <c r="A55" s="146" t="s">
        <v>482</v>
      </c>
      <c r="B55" s="140">
        <v>0</v>
      </c>
      <c r="C55" s="141">
        <f t="shared" si="1"/>
        <v>0</v>
      </c>
      <c r="D55" s="140">
        <v>0</v>
      </c>
      <c r="E55" s="142">
        <f t="shared" si="2"/>
        <v>0</v>
      </c>
      <c r="G55" s="91"/>
      <c r="H55" s="91"/>
      <c r="I55" s="91"/>
      <c r="J55" s="91"/>
      <c r="K55" s="92"/>
      <c r="L55" s="92"/>
      <c r="M55" s="231"/>
    </row>
    <row r="56" spans="1:13" s="305" customFormat="1" x14ac:dyDescent="0.3">
      <c r="A56" s="143" t="s">
        <v>306</v>
      </c>
      <c r="B56" s="144">
        <f>SUM(B25:B55)</f>
        <v>476181.24</v>
      </c>
      <c r="C56" s="145">
        <f>SUM(C25:C55)</f>
        <v>1</v>
      </c>
      <c r="D56" s="144"/>
      <c r="E56" s="144">
        <f>SUM(E25:E55)</f>
        <v>12</v>
      </c>
      <c r="G56" s="191"/>
      <c r="H56" s="191"/>
      <c r="I56" s="191"/>
      <c r="J56" s="191"/>
      <c r="K56" s="192"/>
      <c r="L56" s="192"/>
      <c r="M56" s="231"/>
    </row>
    <row r="57" spans="1:13" s="305" customFormat="1" x14ac:dyDescent="0.3">
      <c r="A57" s="90"/>
      <c r="B57" s="191"/>
      <c r="C57" s="191"/>
      <c r="D57" s="191"/>
      <c r="E57" s="191"/>
      <c r="F57" s="191"/>
      <c r="G57" s="191"/>
      <c r="H57" s="191"/>
      <c r="I57" s="191"/>
      <c r="J57" s="191"/>
      <c r="K57" s="192"/>
      <c r="L57" s="192"/>
      <c r="M57" s="231"/>
    </row>
    <row r="58" spans="1:13" s="305" customFormat="1" ht="12" customHeight="1" x14ac:dyDescent="0.3">
      <c r="A58" s="304"/>
      <c r="B58" s="93"/>
      <c r="C58" s="93"/>
      <c r="D58" s="93"/>
      <c r="E58" s="93"/>
      <c r="F58" s="93"/>
      <c r="G58" s="93"/>
      <c r="H58" s="93"/>
      <c r="I58" s="93"/>
      <c r="J58" s="93"/>
      <c r="K58" s="93"/>
      <c r="L58" s="230"/>
    </row>
    <row r="59" spans="1:13" s="305" customFormat="1" ht="12" customHeight="1" x14ac:dyDescent="0.3">
      <c r="A59" s="389" t="s">
        <v>483</v>
      </c>
      <c r="B59" s="394" t="s">
        <v>463</v>
      </c>
      <c r="C59" s="324"/>
      <c r="D59" s="324"/>
      <c r="E59" s="335"/>
      <c r="F59" s="230"/>
    </row>
    <row r="60" spans="1:13" s="305" customFormat="1" ht="12" customHeight="1" x14ac:dyDescent="0.3">
      <c r="A60" s="350"/>
      <c r="B60" s="306">
        <v>1</v>
      </c>
      <c r="C60" s="306">
        <f>B60+1</f>
        <v>2</v>
      </c>
      <c r="D60" s="306">
        <f>C60+1</f>
        <v>3</v>
      </c>
      <c r="E60" s="306">
        <f>D60+1</f>
        <v>4</v>
      </c>
      <c r="F60" s="230"/>
    </row>
    <row r="61" spans="1:13" s="305" customFormat="1" ht="12" customHeight="1" x14ac:dyDescent="0.3">
      <c r="A61" s="150" t="s">
        <v>471</v>
      </c>
      <c r="B61" s="148">
        <f>C15</f>
        <v>-18168.371800000139</v>
      </c>
      <c r="C61" s="148">
        <f>D15</f>
        <v>5202.7971439999528</v>
      </c>
      <c r="D61" s="148">
        <f>E15</f>
        <v>6310.6767279991764</v>
      </c>
      <c r="E61" s="148">
        <f>F15</f>
        <v>8056.7918339987518</v>
      </c>
      <c r="F61" s="230"/>
    </row>
    <row r="62" spans="1:13" s="305" customFormat="1" x14ac:dyDescent="0.3">
      <c r="A62" s="150" t="s">
        <v>484</v>
      </c>
      <c r="B62" s="148"/>
      <c r="C62" s="148"/>
      <c r="D62" s="148"/>
      <c r="E62" s="148">
        <f>IF(F8-F14&gt;0,NPV(4%,B69:K69,B73:K73,B77:K77,B81:K81,B85:G85),0)</f>
        <v>54244.323928897313</v>
      </c>
      <c r="F62" s="191"/>
      <c r="G62" s="94"/>
      <c r="H62" s="231"/>
    </row>
    <row r="63" spans="1:13" s="305" customFormat="1" x14ac:dyDescent="0.3">
      <c r="A63" s="143" t="s">
        <v>485</v>
      </c>
      <c r="B63" s="144">
        <f>SUM(B61:B62)</f>
        <v>-18168.371800000139</v>
      </c>
      <c r="C63" s="144">
        <f>SUM(C61:C62)</f>
        <v>5202.7971439999528</v>
      </c>
      <c r="D63" s="144">
        <f>SUM(D61:D62)</f>
        <v>6310.6767279991764</v>
      </c>
      <c r="E63" s="144">
        <f>SUM(E61:E62)</f>
        <v>62301.115762896065</v>
      </c>
      <c r="F63" s="95"/>
      <c r="G63" s="96"/>
      <c r="H63" s="231"/>
    </row>
    <row r="66" spans="1:26" s="212" customFormat="1" ht="13.2" customHeight="1" x14ac:dyDescent="0.3">
      <c r="A66" s="307"/>
      <c r="B66" s="147">
        <f>IF($E$56-$E$60&gt;0,$E$56-$E$60,0)</f>
        <v>8</v>
      </c>
      <c r="C66" s="391" t="s">
        <v>486</v>
      </c>
      <c r="D66" s="326"/>
      <c r="E66" s="326"/>
      <c r="F66" s="327"/>
      <c r="G66" s="230"/>
      <c r="H66" s="230"/>
      <c r="I66" s="230"/>
      <c r="J66" s="230"/>
      <c r="K66" s="230"/>
      <c r="L66" s="230"/>
      <c r="M66" s="305"/>
      <c r="N66" s="305"/>
      <c r="O66" s="305"/>
      <c r="P66" s="305"/>
      <c r="Q66" s="305"/>
      <c r="R66" s="305"/>
      <c r="S66" s="305"/>
      <c r="T66" s="305"/>
      <c r="U66" s="305"/>
      <c r="V66" s="305"/>
      <c r="W66" s="305"/>
      <c r="X66" s="305"/>
      <c r="Y66" s="305"/>
      <c r="Z66" s="305"/>
    </row>
    <row r="67" spans="1:26" s="212" customFormat="1" ht="13.2" customHeight="1" x14ac:dyDescent="0.3">
      <c r="A67" s="307"/>
      <c r="B67" s="252" t="s">
        <v>487</v>
      </c>
      <c r="C67" s="252"/>
      <c r="D67" s="252"/>
      <c r="E67" s="252"/>
      <c r="F67" s="252"/>
      <c r="G67" s="252"/>
      <c r="H67" s="252"/>
      <c r="I67" s="252"/>
      <c r="J67" s="252"/>
      <c r="K67" s="252"/>
      <c r="L67" s="230"/>
    </row>
    <row r="68" spans="1:26" s="212" customFormat="1" ht="13.2" customHeight="1" x14ac:dyDescent="0.3">
      <c r="A68" s="149" t="s">
        <v>488</v>
      </c>
      <c r="B68" s="306">
        <f>IF(B66&gt;0,1,0)</f>
        <v>1</v>
      </c>
      <c r="C68" s="306">
        <f t="shared" ref="C68:K68" si="3">IF(B68&gt;0,IF(AND(0&lt;B68,B68&lt;$B$66),B68+1,0),0)</f>
        <v>2</v>
      </c>
      <c r="D68" s="301">
        <f t="shared" si="3"/>
        <v>3</v>
      </c>
      <c r="E68" s="301">
        <f t="shared" si="3"/>
        <v>4</v>
      </c>
      <c r="F68" s="301">
        <f t="shared" si="3"/>
        <v>5</v>
      </c>
      <c r="G68" s="301">
        <f t="shared" si="3"/>
        <v>6</v>
      </c>
      <c r="H68" s="301">
        <f t="shared" si="3"/>
        <v>7</v>
      </c>
      <c r="I68" s="301">
        <f t="shared" si="3"/>
        <v>8</v>
      </c>
      <c r="J68" s="301">
        <f t="shared" si="3"/>
        <v>0</v>
      </c>
      <c r="K68" s="301">
        <f t="shared" si="3"/>
        <v>0</v>
      </c>
      <c r="L68" s="230"/>
    </row>
    <row r="69" spans="1:26" s="212" customFormat="1" ht="13.2" customHeight="1" x14ac:dyDescent="0.3">
      <c r="A69" s="149" t="s">
        <v>471</v>
      </c>
      <c r="B69" s="148">
        <f t="shared" ref="B69:K69" si="4">N(AND(B68&gt;0,$E$61&gt;0)*$E$61)</f>
        <v>8056.7918339987518</v>
      </c>
      <c r="C69" s="148">
        <f t="shared" si="4"/>
        <v>8056.7918339987518</v>
      </c>
      <c r="D69" s="148">
        <f t="shared" si="4"/>
        <v>8056.7918339987518</v>
      </c>
      <c r="E69" s="148">
        <f t="shared" si="4"/>
        <v>8056.7918339987518</v>
      </c>
      <c r="F69" s="148">
        <f t="shared" si="4"/>
        <v>8056.7918339987518</v>
      </c>
      <c r="G69" s="148">
        <f t="shared" si="4"/>
        <v>8056.7918339987518</v>
      </c>
      <c r="H69" s="148">
        <f t="shared" si="4"/>
        <v>8056.7918339987518</v>
      </c>
      <c r="I69" s="148">
        <f t="shared" si="4"/>
        <v>8056.7918339987518</v>
      </c>
      <c r="J69" s="148">
        <f t="shared" si="4"/>
        <v>0</v>
      </c>
      <c r="K69" s="148">
        <f t="shared" si="4"/>
        <v>0</v>
      </c>
      <c r="L69" s="230"/>
    </row>
    <row r="70" spans="1:26" s="212" customFormat="1" x14ac:dyDescent="0.3">
      <c r="A70" s="213"/>
      <c r="B70" s="192"/>
      <c r="C70" s="13"/>
      <c r="D70" s="192"/>
      <c r="E70" s="192"/>
      <c r="F70" s="192"/>
      <c r="G70" s="192"/>
      <c r="H70" s="192"/>
      <c r="I70" s="192"/>
      <c r="J70" s="192"/>
      <c r="K70" s="192"/>
      <c r="L70" s="192"/>
      <c r="M70" s="231"/>
    </row>
    <row r="71" spans="1:26" s="212" customFormat="1" ht="13.2" customHeight="1" x14ac:dyDescent="0.3">
      <c r="A71" s="213"/>
      <c r="B71" s="386" t="s">
        <v>489</v>
      </c>
      <c r="C71" s="324"/>
      <c r="D71" s="324"/>
      <c r="E71" s="335"/>
      <c r="F71" s="252"/>
      <c r="G71" s="252"/>
      <c r="H71" s="252"/>
      <c r="I71" s="252"/>
      <c r="J71" s="252"/>
      <c r="K71" s="252"/>
      <c r="L71" s="230"/>
    </row>
    <row r="72" spans="1:26" s="212" customFormat="1" ht="13.2" customHeight="1" x14ac:dyDescent="0.3">
      <c r="A72" s="149" t="s">
        <v>488</v>
      </c>
      <c r="B72" s="301">
        <f>IF(K68&gt;0,IF(AND(0&lt;K68,K68&lt;$B$66),K68+1,0),0)</f>
        <v>0</v>
      </c>
      <c r="C72" s="301">
        <f t="shared" ref="C72:K72" si="5">IF(B72&gt;0,IF(AND(0&lt;B72,B72&lt;$B$66),B72+1,0),0)</f>
        <v>0</v>
      </c>
      <c r="D72" s="301">
        <f t="shared" si="5"/>
        <v>0</v>
      </c>
      <c r="E72" s="301">
        <f t="shared" si="5"/>
        <v>0</v>
      </c>
      <c r="F72" s="301">
        <f t="shared" si="5"/>
        <v>0</v>
      </c>
      <c r="G72" s="301">
        <f t="shared" si="5"/>
        <v>0</v>
      </c>
      <c r="H72" s="301">
        <f t="shared" si="5"/>
        <v>0</v>
      </c>
      <c r="I72" s="301">
        <f t="shared" si="5"/>
        <v>0</v>
      </c>
      <c r="J72" s="301">
        <f t="shared" si="5"/>
        <v>0</v>
      </c>
      <c r="K72" s="301">
        <f t="shared" si="5"/>
        <v>0</v>
      </c>
      <c r="L72" s="230"/>
    </row>
    <row r="73" spans="1:26" s="212" customFormat="1" ht="13.2" customHeight="1" x14ac:dyDescent="0.3">
      <c r="A73" s="149" t="s">
        <v>471</v>
      </c>
      <c r="B73" s="148">
        <f t="shared" ref="B73:K73" si="6">N(AND(B72&gt;0,$E$61&gt;0)*$E$61)</f>
        <v>0</v>
      </c>
      <c r="C73" s="148">
        <f t="shared" si="6"/>
        <v>0</v>
      </c>
      <c r="D73" s="148">
        <f t="shared" si="6"/>
        <v>0</v>
      </c>
      <c r="E73" s="148">
        <f t="shared" si="6"/>
        <v>0</v>
      </c>
      <c r="F73" s="148">
        <f t="shared" si="6"/>
        <v>0</v>
      </c>
      <c r="G73" s="148">
        <f t="shared" si="6"/>
        <v>0</v>
      </c>
      <c r="H73" s="148">
        <f t="shared" si="6"/>
        <v>0</v>
      </c>
      <c r="I73" s="148">
        <f t="shared" si="6"/>
        <v>0</v>
      </c>
      <c r="J73" s="148">
        <f t="shared" si="6"/>
        <v>0</v>
      </c>
      <c r="K73" s="148">
        <f t="shared" si="6"/>
        <v>0</v>
      </c>
      <c r="L73" s="230"/>
    </row>
    <row r="74" spans="1:26" s="212" customFormat="1" x14ac:dyDescent="0.3">
      <c r="A74" s="213"/>
      <c r="B74" s="192"/>
      <c r="C74" s="13"/>
      <c r="D74" s="192"/>
      <c r="E74" s="192"/>
      <c r="F74" s="192"/>
      <c r="G74" s="192"/>
      <c r="H74" s="192"/>
      <c r="I74" s="192"/>
      <c r="J74" s="192"/>
      <c r="K74" s="192"/>
      <c r="L74" s="192"/>
      <c r="M74" s="231"/>
    </row>
    <row r="75" spans="1:26" s="212" customFormat="1" x14ac:dyDescent="0.3">
      <c r="A75" s="213"/>
      <c r="B75" s="386" t="s">
        <v>489</v>
      </c>
      <c r="C75" s="324"/>
      <c r="D75" s="324"/>
      <c r="E75" s="335"/>
      <c r="F75" s="252"/>
      <c r="G75" s="252"/>
      <c r="H75" s="252"/>
      <c r="I75" s="252"/>
      <c r="J75" s="252"/>
      <c r="K75" s="252"/>
      <c r="L75" s="192"/>
      <c r="M75" s="231"/>
    </row>
    <row r="76" spans="1:26" s="212" customFormat="1" ht="13.2" customHeight="1" x14ac:dyDescent="0.3">
      <c r="A76" s="149" t="s">
        <v>488</v>
      </c>
      <c r="B76" s="301">
        <f>IF(K72&gt;0,IF(AND(0&lt;K72,K72&lt;$B$66),K72+1,0),0)</f>
        <v>0</v>
      </c>
      <c r="C76" s="301">
        <f t="shared" ref="C76:K76" si="7">IF(B76&gt;0,IF(AND(0&lt;B76,B76&lt;$B$66),B76+1,0),0)</f>
        <v>0</v>
      </c>
      <c r="D76" s="301">
        <f t="shared" si="7"/>
        <v>0</v>
      </c>
      <c r="E76" s="301">
        <f t="shared" si="7"/>
        <v>0</v>
      </c>
      <c r="F76" s="301">
        <f t="shared" si="7"/>
        <v>0</v>
      </c>
      <c r="G76" s="301">
        <f t="shared" si="7"/>
        <v>0</v>
      </c>
      <c r="H76" s="301">
        <f t="shared" si="7"/>
        <v>0</v>
      </c>
      <c r="I76" s="301">
        <f t="shared" si="7"/>
        <v>0</v>
      </c>
      <c r="J76" s="301">
        <f t="shared" si="7"/>
        <v>0</v>
      </c>
      <c r="K76" s="301">
        <f t="shared" si="7"/>
        <v>0</v>
      </c>
      <c r="L76" s="230"/>
    </row>
    <row r="77" spans="1:26" s="212" customFormat="1" ht="13.2" customHeight="1" x14ac:dyDescent="0.3">
      <c r="A77" s="149" t="s">
        <v>471</v>
      </c>
      <c r="B77" s="148">
        <f t="shared" ref="B77:K77" si="8">N(AND(B76&gt;0,$E$61&gt;0)*$E$61)</f>
        <v>0</v>
      </c>
      <c r="C77" s="148">
        <f t="shared" si="8"/>
        <v>0</v>
      </c>
      <c r="D77" s="148">
        <f t="shared" si="8"/>
        <v>0</v>
      </c>
      <c r="E77" s="148">
        <f t="shared" si="8"/>
        <v>0</v>
      </c>
      <c r="F77" s="148">
        <f t="shared" si="8"/>
        <v>0</v>
      </c>
      <c r="G77" s="148">
        <f t="shared" si="8"/>
        <v>0</v>
      </c>
      <c r="H77" s="148">
        <f t="shared" si="8"/>
        <v>0</v>
      </c>
      <c r="I77" s="148">
        <f t="shared" si="8"/>
        <v>0</v>
      </c>
      <c r="J77" s="148">
        <f t="shared" si="8"/>
        <v>0</v>
      </c>
      <c r="K77" s="148">
        <f t="shared" si="8"/>
        <v>0</v>
      </c>
      <c r="L77" s="230"/>
    </row>
    <row r="78" spans="1:26" s="212" customFormat="1" x14ac:dyDescent="0.3">
      <c r="A78" s="213"/>
      <c r="B78" s="192"/>
      <c r="C78" s="13"/>
      <c r="D78" s="192"/>
      <c r="E78" s="192"/>
      <c r="F78" s="192"/>
      <c r="G78" s="192"/>
      <c r="H78" s="192"/>
      <c r="I78" s="192"/>
      <c r="J78" s="192"/>
      <c r="K78" s="192"/>
      <c r="L78" s="192"/>
      <c r="M78" s="231"/>
    </row>
    <row r="79" spans="1:26" s="212" customFormat="1" x14ac:dyDescent="0.3">
      <c r="A79" s="213"/>
      <c r="B79" s="386" t="s">
        <v>489</v>
      </c>
      <c r="C79" s="324"/>
      <c r="D79" s="324"/>
      <c r="E79" s="335"/>
      <c r="F79" s="252"/>
      <c r="G79" s="252"/>
      <c r="H79" s="252"/>
      <c r="I79" s="252"/>
      <c r="J79" s="252"/>
      <c r="K79" s="252"/>
      <c r="L79" s="192"/>
      <c r="M79" s="231"/>
    </row>
    <row r="80" spans="1:26" s="212" customFormat="1" x14ac:dyDescent="0.3">
      <c r="A80" s="149" t="s">
        <v>488</v>
      </c>
      <c r="B80" s="301">
        <f>IF(K76&gt;0,IF(AND(0&lt;K76,K76&lt;$B$66),K76+1,0),0)</f>
        <v>0</v>
      </c>
      <c r="C80" s="301">
        <f t="shared" ref="C80:K80" si="9">IF(B80&gt;0,IF(AND(0&lt;B80,B80&lt;$B$66),B80+1,0),0)</f>
        <v>0</v>
      </c>
      <c r="D80" s="301">
        <f t="shared" si="9"/>
        <v>0</v>
      </c>
      <c r="E80" s="301">
        <f t="shared" si="9"/>
        <v>0</v>
      </c>
      <c r="F80" s="301">
        <f t="shared" si="9"/>
        <v>0</v>
      </c>
      <c r="G80" s="301">
        <f t="shared" si="9"/>
        <v>0</v>
      </c>
      <c r="H80" s="301">
        <f t="shared" si="9"/>
        <v>0</v>
      </c>
      <c r="I80" s="301">
        <f t="shared" si="9"/>
        <v>0</v>
      </c>
      <c r="J80" s="301">
        <f t="shared" si="9"/>
        <v>0</v>
      </c>
      <c r="K80" s="301">
        <f t="shared" si="9"/>
        <v>0</v>
      </c>
      <c r="L80" s="192"/>
      <c r="M80" s="231"/>
    </row>
    <row r="81" spans="1:13" s="212" customFormat="1" x14ac:dyDescent="0.3">
      <c r="A81" s="149" t="s">
        <v>471</v>
      </c>
      <c r="B81" s="148">
        <f t="shared" ref="B81:K81" si="10">N(AND(B80&gt;0,$E$61&gt;0)*$E$61)</f>
        <v>0</v>
      </c>
      <c r="C81" s="148">
        <f t="shared" si="10"/>
        <v>0</v>
      </c>
      <c r="D81" s="148">
        <f t="shared" si="10"/>
        <v>0</v>
      </c>
      <c r="E81" s="148">
        <f t="shared" si="10"/>
        <v>0</v>
      </c>
      <c r="F81" s="148">
        <f t="shared" si="10"/>
        <v>0</v>
      </c>
      <c r="G81" s="148">
        <f t="shared" si="10"/>
        <v>0</v>
      </c>
      <c r="H81" s="148">
        <f t="shared" si="10"/>
        <v>0</v>
      </c>
      <c r="I81" s="148">
        <f t="shared" si="10"/>
        <v>0</v>
      </c>
      <c r="J81" s="148">
        <f t="shared" si="10"/>
        <v>0</v>
      </c>
      <c r="K81" s="148">
        <f t="shared" si="10"/>
        <v>0</v>
      </c>
      <c r="L81" s="192"/>
      <c r="M81" s="231"/>
    </row>
    <row r="82" spans="1:13" s="212" customFormat="1" x14ac:dyDescent="0.3">
      <c r="A82" s="307"/>
      <c r="B82" s="192"/>
      <c r="C82" s="13"/>
      <c r="D82" s="192"/>
      <c r="E82" s="192"/>
      <c r="F82" s="192"/>
      <c r="G82" s="192"/>
      <c r="H82" s="192"/>
      <c r="I82" s="192"/>
      <c r="J82" s="192"/>
      <c r="K82" s="192"/>
      <c r="L82" s="192"/>
      <c r="M82" s="231"/>
    </row>
    <row r="83" spans="1:13" s="212" customFormat="1" x14ac:dyDescent="0.3">
      <c r="A83" s="213"/>
      <c r="B83" s="386" t="s">
        <v>489</v>
      </c>
      <c r="C83" s="324"/>
      <c r="D83" s="324"/>
      <c r="E83" s="335"/>
      <c r="F83" s="252"/>
      <c r="G83" s="252"/>
      <c r="H83" s="192"/>
      <c r="I83" s="192"/>
      <c r="J83" s="192"/>
      <c r="K83" s="192"/>
      <c r="L83" s="192"/>
      <c r="M83" s="231"/>
    </row>
    <row r="84" spans="1:13" s="212" customFormat="1" x14ac:dyDescent="0.3">
      <c r="A84" s="149" t="s">
        <v>488</v>
      </c>
      <c r="B84" s="301">
        <f>IF(K80&gt;0,IF(AND(0&lt;K80,K80&lt;$B$66),K80+1,0),0)</f>
        <v>0</v>
      </c>
      <c r="C84" s="301">
        <f>IF(B84&gt;0,IF(AND(0&lt;B84,B84&lt;$B$66),B84+1,0),0)</f>
        <v>0</v>
      </c>
      <c r="D84" s="301">
        <f>IF(C84&gt;0,IF(AND(0&lt;C84,C84&lt;$B$66),C84+1,0),0)</f>
        <v>0</v>
      </c>
      <c r="E84" s="301">
        <f>IF(D84&gt;0,IF(AND(0&lt;D84,D84&lt;$B$66),D84+1,0),0)</f>
        <v>0</v>
      </c>
      <c r="F84" s="301">
        <f>IF(E84&gt;0,IF(AND(0&lt;E84,E84&lt;$B$66),E84+1,0),0)</f>
        <v>0</v>
      </c>
      <c r="G84" s="301">
        <f>IF(F84&gt;0,IF(AND(0&lt;F84,F84&lt;$B$66),F84+1,0),0)</f>
        <v>0</v>
      </c>
      <c r="H84" s="192"/>
      <c r="I84" s="192"/>
      <c r="J84" s="192"/>
      <c r="K84" s="192"/>
      <c r="L84" s="192"/>
      <c r="M84" s="231"/>
    </row>
    <row r="85" spans="1:13" s="212" customFormat="1" x14ac:dyDescent="0.3">
      <c r="A85" s="149" t="s">
        <v>471</v>
      </c>
      <c r="B85" s="148">
        <f t="shared" ref="B85:G85" si="11">N(AND(B84&gt;0,$E$61&gt;0)*$E$61)</f>
        <v>0</v>
      </c>
      <c r="C85" s="148">
        <f t="shared" si="11"/>
        <v>0</v>
      </c>
      <c r="D85" s="148">
        <f t="shared" si="11"/>
        <v>0</v>
      </c>
      <c r="E85" s="148">
        <f t="shared" si="11"/>
        <v>0</v>
      </c>
      <c r="F85" s="148">
        <f t="shared" si="11"/>
        <v>0</v>
      </c>
      <c r="G85" s="148">
        <f t="shared" si="11"/>
        <v>0</v>
      </c>
      <c r="H85" s="192"/>
      <c r="I85" s="192"/>
      <c r="J85" s="192"/>
      <c r="K85" s="192"/>
      <c r="L85" s="192"/>
      <c r="M85" s="231"/>
    </row>
    <row r="86" spans="1:13" s="212" customFormat="1" x14ac:dyDescent="0.3">
      <c r="A86" s="307"/>
      <c r="B86" s="192"/>
      <c r="C86" s="13"/>
      <c r="D86" s="192"/>
      <c r="E86" s="192"/>
      <c r="F86" s="192"/>
      <c r="G86" s="192"/>
      <c r="H86" s="192"/>
      <c r="I86" s="192"/>
      <c r="J86" s="192"/>
      <c r="K86" s="192"/>
      <c r="L86" s="192"/>
      <c r="M86" s="231"/>
    </row>
    <row r="87" spans="1:13" s="212" customFormat="1" x14ac:dyDescent="0.3">
      <c r="A87" s="307"/>
      <c r="B87" s="192"/>
      <c r="C87" s="13"/>
      <c r="D87" s="192"/>
      <c r="E87" s="192"/>
      <c r="F87" s="192"/>
      <c r="G87" s="192"/>
      <c r="H87" s="192"/>
      <c r="I87" s="192"/>
      <c r="J87" s="192"/>
      <c r="K87" s="192"/>
      <c r="L87" s="192"/>
      <c r="M87" s="231"/>
    </row>
    <row r="88" spans="1:13" s="212" customFormat="1" x14ac:dyDescent="0.3">
      <c r="A88" s="307"/>
      <c r="B88" s="192"/>
      <c r="C88" s="13"/>
      <c r="D88" s="192"/>
      <c r="E88" s="192"/>
      <c r="F88" s="192"/>
      <c r="G88" s="192"/>
      <c r="H88" s="192"/>
      <c r="I88" s="192"/>
      <c r="J88" s="192"/>
      <c r="K88" s="192"/>
      <c r="L88" s="192"/>
      <c r="M88" s="231"/>
    </row>
    <row r="89" spans="1:13" s="212" customFormat="1" x14ac:dyDescent="0.3">
      <c r="A89" s="307"/>
      <c r="B89" s="192"/>
      <c r="C89" s="13"/>
      <c r="D89" s="192"/>
      <c r="E89" s="192"/>
      <c r="F89" s="192"/>
      <c r="G89" s="192"/>
      <c r="H89" s="192"/>
      <c r="I89" s="192"/>
      <c r="J89" s="192"/>
      <c r="K89" s="192"/>
      <c r="L89" s="192"/>
      <c r="M89" s="231"/>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dxfId="2" priority="9" operator="containsText" text="&gt;0">
      <formula>NOT(ISERROR(SEARCH("&gt;0",C18)))</formula>
    </cfRule>
  </conditionalFormatting>
  <conditionalFormatting sqref="D18">
    <cfRule type="containsText" dxfId="1" priority="2" operator="containsText" text="&gt;0">
      <formula>NOT(ISERROR(SEARCH("&gt;0",D18)))</formula>
    </cfRule>
  </conditionalFormatting>
  <conditionalFormatting sqref="D19">
    <cfRule type="cellIs" dxfId="0" priority="1" operator="greaterThan">
      <formula>0.04</formula>
    </cfRule>
  </conditionalFormatting>
  <pageMargins left="0.5" right="0.45833333333333331" top="0.75" bottom="0.75" header="0.3" footer="0.3"/>
  <pageSetup paperSize="9" fitToHeight="0" orientation="landscape" blackAndWhite="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1A-Bilant</vt:lpstr>
      <vt:lpstr>1B-ContPP</vt:lpstr>
      <vt:lpstr>1C-Analiza_fin_extinsa</vt:lpstr>
      <vt:lpstr>1D-Analiza_fin_indicatori</vt:lpstr>
      <vt:lpstr>1E-Intreprindere_in_dificultate</vt:lpstr>
      <vt:lpstr>2B-Investitie</vt:lpstr>
      <vt:lpstr>2A-Buget_cerere</vt:lpstr>
      <vt:lpstr>3A-Proiectii_fin_investitie</vt:lpstr>
      <vt:lpstr>3B-Rentabilitate_investitie</vt:lpstr>
      <vt:lpstr>LIST</vt:lpstr>
      <vt:lpstr>4-Proiectii_fin_intreprindere</vt:lpstr>
      <vt:lpstr>Sheet1</vt:lpstr>
      <vt:lpstr>'3A-Proiectii_fin_investitie'!Print_Area</vt:lpstr>
      <vt:lpstr>TVA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Alexandru Vesa</cp:lastModifiedBy>
  <dcterms:created xsi:type="dcterms:W3CDTF">2020-10-18T15:58:51Z</dcterms:created>
  <dcterms:modified xsi:type="dcterms:W3CDTF">2020-11-02T14:42:50Z</dcterms:modified>
</cp:coreProperties>
</file>