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Test\"/>
    </mc:Choice>
  </mc:AlternateContent>
  <xr:revisionPtr revIDLastSave="0" documentId="8_{9E1A63B4-660C-4FEB-83B8-AF2F5AF060E1}" xr6:coauthVersionLast="45" xr6:coauthVersionMax="45" xr10:uidLastSave="{00000000-0000-0000-0000-000000000000}"/>
  <bookViews>
    <workbookView xWindow="-108" yWindow="-108" windowWidth="23256" windowHeight="12576"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3" i="11" l="1"/>
  <c r="E53" i="11"/>
  <c r="D53" i="11"/>
  <c r="C114" i="11"/>
  <c r="C58" i="11"/>
  <c r="E73" i="8"/>
  <c r="F73" i="8" l="1"/>
  <c r="D128" i="8"/>
  <c r="F124" i="11" l="1"/>
  <c r="E124" i="11"/>
  <c r="D124" i="11"/>
  <c r="C124" i="11"/>
  <c r="F122" i="11"/>
  <c r="E122" i="11"/>
  <c r="D122" i="11"/>
  <c r="C122" i="11"/>
  <c r="F109" i="11"/>
  <c r="E109" i="11"/>
  <c r="D109" i="11"/>
  <c r="C109" i="11"/>
  <c r="C97" i="11"/>
  <c r="C85" i="11"/>
  <c r="D85" i="11" s="1"/>
  <c r="C78" i="11"/>
  <c r="C59" i="11"/>
  <c r="D59" i="11" s="1"/>
  <c r="E59" i="11" s="1"/>
  <c r="F59" i="11" s="1"/>
  <c r="C57" i="11"/>
  <c r="C56" i="11"/>
  <c r="F54" i="11"/>
  <c r="F52" i="11" s="1"/>
  <c r="E54" i="11"/>
  <c r="E52" i="11" s="1"/>
  <c r="D54" i="11"/>
  <c r="D52" i="11" s="1"/>
  <c r="C53" i="11"/>
  <c r="C54" i="11" s="1"/>
  <c r="C52" i="11"/>
  <c r="F49" i="11"/>
  <c r="E49" i="11"/>
  <c r="D49" i="11"/>
  <c r="C49" i="11"/>
  <c r="F48" i="11"/>
  <c r="F46" i="11" s="1"/>
  <c r="E48" i="11"/>
  <c r="E46" i="11" s="1"/>
  <c r="D48" i="11"/>
  <c r="D46" i="11" s="1"/>
  <c r="C48" i="11"/>
  <c r="C46" i="11" s="1"/>
  <c r="C47" i="11"/>
  <c r="C44" i="11"/>
  <c r="E41" i="11"/>
  <c r="D41" i="11"/>
  <c r="E42" i="11" s="1"/>
  <c r="C38" i="11"/>
  <c r="F31" i="11"/>
  <c r="F32" i="11" s="1"/>
  <c r="E31" i="11"/>
  <c r="D31" i="11"/>
  <c r="F26" i="11"/>
  <c r="E26" i="11"/>
  <c r="D26" i="11"/>
  <c r="D32" i="11" s="1"/>
  <c r="D33" i="11" s="1"/>
  <c r="C26" i="11"/>
  <c r="F22" i="11"/>
  <c r="E21" i="11"/>
  <c r="E22" i="11" s="1"/>
  <c r="D21" i="11"/>
  <c r="F16" i="11"/>
  <c r="F21" i="11" s="1"/>
  <c r="E16" i="11"/>
  <c r="D16" i="11"/>
  <c r="C16" i="11"/>
  <c r="F14" i="11"/>
  <c r="E14" i="11"/>
  <c r="D14" i="11"/>
  <c r="D22" i="11" s="1"/>
  <c r="F9" i="11"/>
  <c r="E9" i="11"/>
  <c r="D9" i="11"/>
  <c r="C9" i="11"/>
  <c r="D60" i="9"/>
  <c r="E60" i="9" s="1"/>
  <c r="C60" i="9"/>
  <c r="B56" i="9"/>
  <c r="C44" i="9" s="1"/>
  <c r="E44" i="9" s="1"/>
  <c r="C54" i="9"/>
  <c r="E54" i="9" s="1"/>
  <c r="C49" i="9"/>
  <c r="E49" i="9" s="1"/>
  <c r="C48" i="9"/>
  <c r="E48" i="9" s="1"/>
  <c r="C36" i="9"/>
  <c r="E36" i="9" s="1"/>
  <c r="C34" i="9"/>
  <c r="E34" i="9" s="1"/>
  <c r="C29" i="9"/>
  <c r="E29" i="9" s="1"/>
  <c r="B9" i="9"/>
  <c r="G188" i="8"/>
  <c r="G189" i="8" s="1"/>
  <c r="F188" i="8"/>
  <c r="F189" i="8" s="1"/>
  <c r="E188" i="8"/>
  <c r="D188" i="8"/>
  <c r="C188" i="8" s="1"/>
  <c r="G187" i="8"/>
  <c r="F187" i="8"/>
  <c r="E187" i="8"/>
  <c r="D187" i="8"/>
  <c r="C187" i="8" s="1"/>
  <c r="G186" i="8"/>
  <c r="F186" i="8"/>
  <c r="E186" i="8"/>
  <c r="D186" i="8"/>
  <c r="D189" i="8" s="1"/>
  <c r="A185" i="8"/>
  <c r="G181" i="8"/>
  <c r="F181" i="8"/>
  <c r="E181" i="8"/>
  <c r="D181" i="8"/>
  <c r="C181" i="8" s="1"/>
  <c r="D177" i="8"/>
  <c r="C177" i="8" s="1"/>
  <c r="D176" i="8"/>
  <c r="D175" i="8"/>
  <c r="C175" i="8" s="1"/>
  <c r="G168" i="8"/>
  <c r="F168" i="8"/>
  <c r="E168" i="8"/>
  <c r="D168" i="8"/>
  <c r="C168" i="8" s="1"/>
  <c r="G157" i="8"/>
  <c r="E156" i="8"/>
  <c r="D156" i="8"/>
  <c r="F146" i="8"/>
  <c r="D137" i="8"/>
  <c r="G131" i="8"/>
  <c r="G132" i="8" s="1"/>
  <c r="F131" i="8"/>
  <c r="F132" i="8" s="1"/>
  <c r="E131" i="8"/>
  <c r="E132" i="8" s="1"/>
  <c r="D131" i="8"/>
  <c r="C131" i="8" s="1"/>
  <c r="C130" i="8"/>
  <c r="C129" i="8"/>
  <c r="C128" i="8"/>
  <c r="G123" i="8"/>
  <c r="F123" i="8"/>
  <c r="E123" i="8"/>
  <c r="D123" i="8"/>
  <c r="C123" i="8"/>
  <c r="G122" i="8"/>
  <c r="D119" i="8"/>
  <c r="C119" i="8"/>
  <c r="D118" i="8"/>
  <c r="C118" i="8"/>
  <c r="D117" i="8"/>
  <c r="C110" i="8"/>
  <c r="E105" i="8"/>
  <c r="E103" i="8" s="1"/>
  <c r="D103" i="8"/>
  <c r="F102" i="8"/>
  <c r="E102" i="8"/>
  <c r="D98" i="8"/>
  <c r="D96" i="8" s="1"/>
  <c r="G92" i="8"/>
  <c r="F92" i="8"/>
  <c r="F157" i="8" s="1"/>
  <c r="E92" i="8"/>
  <c r="D92" i="8"/>
  <c r="C92" i="8" s="1"/>
  <c r="G89" i="8"/>
  <c r="F89" i="8"/>
  <c r="F156" i="8" s="1"/>
  <c r="E89" i="8"/>
  <c r="C89" i="8" s="1"/>
  <c r="D89" i="8"/>
  <c r="E85" i="8"/>
  <c r="D85" i="8"/>
  <c r="D154" i="8" s="1"/>
  <c r="E81" i="8"/>
  <c r="F81" i="8" s="1"/>
  <c r="G81" i="8" s="1"/>
  <c r="D81" i="8"/>
  <c r="D73" i="8"/>
  <c r="D71" i="8"/>
  <c r="G70" i="8"/>
  <c r="G68" i="8" s="1"/>
  <c r="F70" i="8"/>
  <c r="F68" i="8" s="1"/>
  <c r="E68" i="8"/>
  <c r="D68" i="8"/>
  <c r="G65" i="8"/>
  <c r="F65" i="8"/>
  <c r="E65" i="8"/>
  <c r="D65" i="8"/>
  <c r="D58" i="8"/>
  <c r="C58" i="8"/>
  <c r="C54" i="8"/>
  <c r="E49" i="8"/>
  <c r="F49" i="8" s="1"/>
  <c r="E47" i="8"/>
  <c r="D47" i="8"/>
  <c r="E46" i="8"/>
  <c r="F46" i="8" s="1"/>
  <c r="G46" i="8" s="1"/>
  <c r="D46" i="8"/>
  <c r="D102" i="8" s="1"/>
  <c r="F45" i="8"/>
  <c r="D44" i="8"/>
  <c r="E44" i="8" s="1"/>
  <c r="F44" i="8" s="1"/>
  <c r="G44" i="8" s="1"/>
  <c r="C44" i="8" s="1"/>
  <c r="F42" i="8"/>
  <c r="F40" i="8" s="1"/>
  <c r="E42" i="8"/>
  <c r="E40" i="8" s="1"/>
  <c r="D42" i="8"/>
  <c r="D40" i="8"/>
  <c r="D45" i="8" s="1"/>
  <c r="G36" i="8"/>
  <c r="F36" i="8"/>
  <c r="E36" i="8"/>
  <c r="D36" i="8"/>
  <c r="C36" i="8"/>
  <c r="G33" i="8"/>
  <c r="F33" i="8"/>
  <c r="E33" i="8"/>
  <c r="D33" i="8"/>
  <c r="D32" i="8"/>
  <c r="D30" i="8"/>
  <c r="E29" i="8"/>
  <c r="D28" i="8"/>
  <c r="E28" i="8" s="1"/>
  <c r="E26" i="8" s="1"/>
  <c r="D26" i="8"/>
  <c r="F25" i="8"/>
  <c r="G25" i="8" s="1"/>
  <c r="E25" i="8"/>
  <c r="D23" i="8"/>
  <c r="D21" i="8"/>
  <c r="F17" i="8"/>
  <c r="G17" i="8" s="1"/>
  <c r="G15" i="8" s="1"/>
  <c r="E17" i="8"/>
  <c r="D17" i="8"/>
  <c r="F15" i="8"/>
  <c r="E15" i="8"/>
  <c r="D15" i="8"/>
  <c r="G9" i="8"/>
  <c r="F9" i="8"/>
  <c r="E9" i="8"/>
  <c r="D9" i="8"/>
  <c r="D146" i="8" s="1"/>
  <c r="C9" i="8"/>
  <c r="H19" i="7"/>
  <c r="E19" i="7"/>
  <c r="I19" i="7" s="1"/>
  <c r="G18" i="7"/>
  <c r="D18" i="7"/>
  <c r="C18" i="7"/>
  <c r="H17" i="7"/>
  <c r="I17" i="7" s="1"/>
  <c r="C18" i="6" s="1"/>
  <c r="E17" i="7"/>
  <c r="H16" i="7"/>
  <c r="E16" i="7"/>
  <c r="I16" i="7" s="1"/>
  <c r="C17" i="6" s="1"/>
  <c r="D17" i="6" s="1"/>
  <c r="I15" i="7"/>
  <c r="C16" i="6" s="1"/>
  <c r="D16" i="6" s="1"/>
  <c r="H15" i="7"/>
  <c r="E15" i="7"/>
  <c r="H14" i="7"/>
  <c r="F14" i="7"/>
  <c r="F18" i="7" s="1"/>
  <c r="D14" i="7"/>
  <c r="E14" i="7" s="1"/>
  <c r="I14" i="7" s="1"/>
  <c r="C15" i="6" s="1"/>
  <c r="D15" i="6" s="1"/>
  <c r="H13" i="7"/>
  <c r="E13" i="7"/>
  <c r="I13" i="7" s="1"/>
  <c r="C14" i="6" s="1"/>
  <c r="D14" i="6" s="1"/>
  <c r="I12" i="7"/>
  <c r="C13" i="6" s="1"/>
  <c r="D13" i="6" s="1"/>
  <c r="H12" i="7"/>
  <c r="E12" i="7"/>
  <c r="H11" i="7"/>
  <c r="E11" i="7"/>
  <c r="I11" i="7" s="1"/>
  <c r="H10" i="7"/>
  <c r="E10" i="7"/>
  <c r="I10" i="7" s="1"/>
  <c r="C11" i="6" s="1"/>
  <c r="D11" i="6" s="1"/>
  <c r="I9" i="7"/>
  <c r="H9" i="7"/>
  <c r="E9" i="7"/>
  <c r="H8" i="7"/>
  <c r="E8" i="7"/>
  <c r="I8" i="7" s="1"/>
  <c r="C9" i="6" s="1"/>
  <c r="D9" i="6" s="1"/>
  <c r="H7" i="7"/>
  <c r="I7" i="7" s="1"/>
  <c r="C8" i="6" s="1"/>
  <c r="D8" i="6" s="1"/>
  <c r="E7" i="7"/>
  <c r="H6" i="7"/>
  <c r="C6" i="7"/>
  <c r="E6" i="7" s="1"/>
  <c r="I6" i="7" s="1"/>
  <c r="C7" i="6" s="1"/>
  <c r="H5" i="7"/>
  <c r="E5" i="7"/>
  <c r="I5" i="7" s="1"/>
  <c r="G37" i="6"/>
  <c r="F37" i="6"/>
  <c r="F122" i="8" s="1"/>
  <c r="E37" i="6"/>
  <c r="E122" i="8" s="1"/>
  <c r="E180" i="8" s="1"/>
  <c r="E182" i="8" s="1"/>
  <c r="E183" i="8" s="1"/>
  <c r="D37" i="6"/>
  <c r="D122" i="8" s="1"/>
  <c r="C36" i="6"/>
  <c r="C35" i="6"/>
  <c r="D34" i="6"/>
  <c r="C34" i="6" s="1"/>
  <c r="A29" i="6"/>
  <c r="D25" i="6"/>
  <c r="C25" i="6"/>
  <c r="E19" i="6"/>
  <c r="E24" i="6" s="1"/>
  <c r="B19" i="6"/>
  <c r="D18" i="6"/>
  <c r="B18" i="6"/>
  <c r="A18" i="6"/>
  <c r="B15" i="6"/>
  <c r="A15" i="6"/>
  <c r="B14" i="6"/>
  <c r="A14" i="6"/>
  <c r="B13" i="6"/>
  <c r="A13" i="6"/>
  <c r="D12" i="6"/>
  <c r="C12" i="6"/>
  <c r="B12" i="6"/>
  <c r="A12" i="6"/>
  <c r="B11" i="6"/>
  <c r="A11" i="6"/>
  <c r="D10" i="6"/>
  <c r="C10" i="6"/>
  <c r="B10" i="6"/>
  <c r="A10" i="6"/>
  <c r="B9" i="6"/>
  <c r="A9" i="6"/>
  <c r="B8" i="6"/>
  <c r="A8" i="6"/>
  <c r="D7" i="6"/>
  <c r="B7" i="6"/>
  <c r="A7" i="6"/>
  <c r="B6" i="6"/>
  <c r="A6" i="6"/>
  <c r="F18" i="5"/>
  <c r="F16" i="5"/>
  <c r="F15" i="5"/>
  <c r="F11" i="5"/>
  <c r="D89" i="4"/>
  <c r="C89" i="4"/>
  <c r="B89" i="4"/>
  <c r="D84" i="4"/>
  <c r="C84" i="4"/>
  <c r="B84" i="4"/>
  <c r="D74" i="4"/>
  <c r="C74" i="4"/>
  <c r="D68" i="4"/>
  <c r="C68" i="4"/>
  <c r="B68" i="4"/>
  <c r="D61" i="4"/>
  <c r="C61" i="4"/>
  <c r="B61" i="4"/>
  <c r="D42" i="4"/>
  <c r="C42" i="4"/>
  <c r="B42" i="4"/>
  <c r="D33" i="4"/>
  <c r="C33" i="4"/>
  <c r="B33" i="4"/>
  <c r="D27" i="4"/>
  <c r="C27" i="4"/>
  <c r="D22" i="4"/>
  <c r="C22" i="4"/>
  <c r="B22" i="4"/>
  <c r="D18" i="4"/>
  <c r="B14" i="4"/>
  <c r="D13" i="4"/>
  <c r="C13" i="4"/>
  <c r="D12" i="4"/>
  <c r="C12" i="4"/>
  <c r="B12" i="4"/>
  <c r="D4" i="4"/>
  <c r="C4" i="4"/>
  <c r="B4" i="4"/>
  <c r="A47" i="3"/>
  <c r="I46" i="3"/>
  <c r="H46" i="3"/>
  <c r="G46" i="3"/>
  <c r="F46" i="3"/>
  <c r="K46" i="3" s="1"/>
  <c r="D46" i="3"/>
  <c r="C46" i="3"/>
  <c r="M46" i="3" s="1"/>
  <c r="B46" i="3"/>
  <c r="L46" i="3" s="1"/>
  <c r="A46" i="3"/>
  <c r="M45" i="3"/>
  <c r="L45" i="3"/>
  <c r="I45" i="3"/>
  <c r="H45" i="3"/>
  <c r="D45" i="3"/>
  <c r="C45" i="3"/>
  <c r="B45" i="3"/>
  <c r="B27" i="4" s="1"/>
  <c r="A45" i="3"/>
  <c r="A44" i="3"/>
  <c r="A43" i="3"/>
  <c r="A42" i="3"/>
  <c r="C41" i="3"/>
  <c r="B41" i="3"/>
  <c r="G41" i="3" s="1"/>
  <c r="B36" i="4" s="1"/>
  <c r="A41" i="3"/>
  <c r="D40" i="3"/>
  <c r="C40" i="3"/>
  <c r="L40" i="3" s="1"/>
  <c r="B40" i="3"/>
  <c r="A40" i="3"/>
  <c r="L39" i="3"/>
  <c r="I39" i="3"/>
  <c r="H39" i="3"/>
  <c r="D39" i="3"/>
  <c r="C39" i="3"/>
  <c r="C21" i="4" s="1"/>
  <c r="B39" i="3"/>
  <c r="B21" i="4" s="1"/>
  <c r="A39" i="3"/>
  <c r="A38" i="3"/>
  <c r="A37" i="3"/>
  <c r="B36" i="3"/>
  <c r="A36" i="3"/>
  <c r="M35" i="3"/>
  <c r="L35" i="3"/>
  <c r="D35" i="3"/>
  <c r="I35" i="3" s="1"/>
  <c r="C35" i="3"/>
  <c r="H35" i="3" s="1"/>
  <c r="B35" i="3"/>
  <c r="A35" i="3"/>
  <c r="D34" i="3"/>
  <c r="I34" i="3" s="1"/>
  <c r="C34" i="3"/>
  <c r="B34" i="3"/>
  <c r="G34" i="3" s="1"/>
  <c r="A34" i="3"/>
  <c r="D33" i="3"/>
  <c r="C33" i="3"/>
  <c r="B33" i="3"/>
  <c r="G33" i="3" s="1"/>
  <c r="A33" i="3"/>
  <c r="H32" i="3"/>
  <c r="G32" i="3"/>
  <c r="D32" i="3"/>
  <c r="C32" i="3"/>
  <c r="A32" i="3"/>
  <c r="A31" i="3"/>
  <c r="I30" i="3"/>
  <c r="A30" i="3"/>
  <c r="M29" i="3"/>
  <c r="L29" i="3"/>
  <c r="I29" i="3"/>
  <c r="H29" i="3"/>
  <c r="D29" i="3"/>
  <c r="C29" i="3"/>
  <c r="B29" i="3"/>
  <c r="M28" i="3"/>
  <c r="L28" i="3"/>
  <c r="I28" i="3"/>
  <c r="H28" i="3"/>
  <c r="D28" i="3"/>
  <c r="C28" i="3"/>
  <c r="B28" i="3"/>
  <c r="B27" i="3"/>
  <c r="G27" i="3" s="1"/>
  <c r="A27" i="3"/>
  <c r="M26" i="3"/>
  <c r="I26" i="3"/>
  <c r="D26" i="3"/>
  <c r="C26" i="3"/>
  <c r="H26" i="3" s="1"/>
  <c r="B26" i="3"/>
  <c r="G26" i="3" s="1"/>
  <c r="A26" i="3"/>
  <c r="M25" i="3"/>
  <c r="D25" i="3"/>
  <c r="C25" i="3"/>
  <c r="B25" i="3"/>
  <c r="G40" i="3" s="1"/>
  <c r="A25" i="3"/>
  <c r="M24" i="3"/>
  <c r="L24" i="3"/>
  <c r="I24" i="3"/>
  <c r="H24" i="3"/>
  <c r="G24" i="3"/>
  <c r="D24" i="3"/>
  <c r="C24" i="3"/>
  <c r="B24" i="3"/>
  <c r="A22" i="3"/>
  <c r="A21" i="3"/>
  <c r="D19" i="3"/>
  <c r="C19" i="3"/>
  <c r="L19" i="3" s="1"/>
  <c r="B19" i="3"/>
  <c r="D18" i="3"/>
  <c r="C18" i="3"/>
  <c r="L18" i="3" s="1"/>
  <c r="B18" i="3"/>
  <c r="D17" i="3"/>
  <c r="C17" i="3"/>
  <c r="L17" i="3" s="1"/>
  <c r="B17" i="3"/>
  <c r="B16" i="3"/>
  <c r="B94" i="4" s="1"/>
  <c r="D14" i="3"/>
  <c r="C14" i="3"/>
  <c r="D13" i="3"/>
  <c r="C13" i="3"/>
  <c r="B13" i="3"/>
  <c r="B81" i="4" s="1"/>
  <c r="D12" i="3"/>
  <c r="C12" i="3"/>
  <c r="L12" i="3" s="1"/>
  <c r="B12" i="3"/>
  <c r="D9" i="3"/>
  <c r="C9" i="3"/>
  <c r="B9" i="3"/>
  <c r="D7" i="3"/>
  <c r="D73" i="4" s="1"/>
  <c r="C7" i="3"/>
  <c r="L7" i="3" s="1"/>
  <c r="B7" i="3"/>
  <c r="M3" i="3"/>
  <c r="L3" i="3"/>
  <c r="I3" i="3"/>
  <c r="H3" i="3"/>
  <c r="G3" i="3"/>
  <c r="D3" i="3"/>
  <c r="C3" i="3"/>
  <c r="B3" i="3"/>
  <c r="D47" i="2"/>
  <c r="C47" i="2"/>
  <c r="B47" i="2"/>
  <c r="D46" i="2"/>
  <c r="C46" i="2"/>
  <c r="B46" i="2"/>
  <c r="D45" i="2"/>
  <c r="D41" i="3" s="1"/>
  <c r="C45" i="2"/>
  <c r="B45" i="2"/>
  <c r="C39" i="2"/>
  <c r="B39" i="2"/>
  <c r="D38" i="2"/>
  <c r="C38" i="2"/>
  <c r="D36" i="2"/>
  <c r="D36" i="3" s="1"/>
  <c r="C36" i="2"/>
  <c r="B36" i="2"/>
  <c r="D32" i="2"/>
  <c r="C32" i="2"/>
  <c r="B32" i="2"/>
  <c r="B32" i="3" s="1"/>
  <c r="B17" i="4" s="1"/>
  <c r="B27" i="2"/>
  <c r="D26" i="2"/>
  <c r="D24" i="2"/>
  <c r="D30" i="3" s="1"/>
  <c r="C24" i="2"/>
  <c r="C30" i="3" s="1"/>
  <c r="C15" i="4" s="1"/>
  <c r="B24" i="2"/>
  <c r="B26" i="2" s="1"/>
  <c r="D13" i="2"/>
  <c r="C13" i="2"/>
  <c r="C48" i="2" s="1"/>
  <c r="B13" i="2"/>
  <c r="B48" i="2" s="1"/>
  <c r="B42" i="3" s="1"/>
  <c r="D5" i="2"/>
  <c r="C5" i="2"/>
  <c r="B5" i="2"/>
  <c r="D93" i="1"/>
  <c r="D89" i="1"/>
  <c r="D20" i="3" s="1"/>
  <c r="B89" i="1"/>
  <c r="B20" i="3" s="1"/>
  <c r="D85" i="1"/>
  <c r="C85" i="1"/>
  <c r="B85" i="1"/>
  <c r="D82" i="1"/>
  <c r="C82" i="1"/>
  <c r="F10" i="5" s="1"/>
  <c r="F12" i="5" s="1"/>
  <c r="B82" i="1"/>
  <c r="D75" i="1"/>
  <c r="C75" i="1"/>
  <c r="F17" i="5" s="1"/>
  <c r="B75" i="1"/>
  <c r="D68" i="1"/>
  <c r="C68" i="1"/>
  <c r="B68" i="1"/>
  <c r="D63" i="1"/>
  <c r="D56" i="1" s="1"/>
  <c r="C63" i="1"/>
  <c r="C56" i="1" s="1"/>
  <c r="B63" i="1"/>
  <c r="D60" i="1"/>
  <c r="C60" i="1"/>
  <c r="B60" i="1"/>
  <c r="D57" i="1"/>
  <c r="C57" i="1"/>
  <c r="B57" i="1"/>
  <c r="B56" i="1" s="1"/>
  <c r="B15" i="3" s="1"/>
  <c r="D54" i="1"/>
  <c r="C54" i="1"/>
  <c r="B54" i="1"/>
  <c r="D42" i="1"/>
  <c r="C41" i="1"/>
  <c r="C42" i="1" s="1"/>
  <c r="B41" i="1"/>
  <c r="D30" i="1"/>
  <c r="D8" i="3" s="1"/>
  <c r="C30" i="1"/>
  <c r="C8" i="3" s="1"/>
  <c r="B30" i="1"/>
  <c r="B8" i="3" s="1"/>
  <c r="D25" i="1"/>
  <c r="D29" i="1" s="1"/>
  <c r="D43" i="1" s="1"/>
  <c r="B25" i="1"/>
  <c r="C21" i="1"/>
  <c r="C25" i="1" s="1"/>
  <c r="D16" i="1"/>
  <c r="D18" i="1" s="1"/>
  <c r="B16" i="1"/>
  <c r="B18" i="1" s="1"/>
  <c r="C11" i="1"/>
  <c r="C16" i="1" s="1"/>
  <c r="C18" i="1" s="1"/>
  <c r="B11" i="1"/>
  <c r="C10" i="1"/>
  <c r="B10" i="1"/>
  <c r="C9" i="1"/>
  <c r="B9" i="1"/>
  <c r="D132" i="8" l="1"/>
  <c r="C132" i="8" s="1"/>
  <c r="D92" i="4"/>
  <c r="D6" i="4"/>
  <c r="C15" i="3"/>
  <c r="C94" i="1"/>
  <c r="D94" i="1"/>
  <c r="D15" i="3"/>
  <c r="M8" i="3"/>
  <c r="B24" i="4"/>
  <c r="G42" i="3"/>
  <c r="M41" i="3"/>
  <c r="D23" i="4"/>
  <c r="I41" i="3"/>
  <c r="D36" i="4" s="1"/>
  <c r="L8" i="3"/>
  <c r="F19" i="5"/>
  <c r="C21" i="5"/>
  <c r="C93" i="1"/>
  <c r="C4" i="3"/>
  <c r="C29" i="1"/>
  <c r="C43" i="1" s="1"/>
  <c r="C44" i="1" s="1"/>
  <c r="C6" i="3"/>
  <c r="F47" i="8"/>
  <c r="C47" i="8" s="1"/>
  <c r="G49" i="8"/>
  <c r="G47" i="8" s="1"/>
  <c r="C42" i="3"/>
  <c r="M17" i="3"/>
  <c r="C45" i="8"/>
  <c r="E78" i="11"/>
  <c r="F162" i="8"/>
  <c r="G102" i="8"/>
  <c r="G190" i="8"/>
  <c r="F12" i="9"/>
  <c r="F17" i="9" s="1"/>
  <c r="B4" i="3"/>
  <c r="B70" i="4" s="1"/>
  <c r="M14" i="3"/>
  <c r="L34" i="3"/>
  <c r="H34" i="3"/>
  <c r="D92" i="1"/>
  <c r="D44" i="1"/>
  <c r="C82" i="4"/>
  <c r="C87" i="4"/>
  <c r="L9" i="3"/>
  <c r="B23" i="4"/>
  <c r="C117" i="8"/>
  <c r="D120" i="8"/>
  <c r="B18" i="4"/>
  <c r="G36" i="3"/>
  <c r="I18" i="7"/>
  <c r="C6" i="6"/>
  <c r="D6" i="6" s="1"/>
  <c r="D38" i="11"/>
  <c r="E146" i="8"/>
  <c r="D159" i="8"/>
  <c r="B6" i="3"/>
  <c r="B29" i="1"/>
  <c r="B92" i="4"/>
  <c r="D15" i="4"/>
  <c r="M30" i="3"/>
  <c r="B38" i="2"/>
  <c r="B37" i="2"/>
  <c r="B37" i="3" s="1"/>
  <c r="B51" i="2"/>
  <c r="C67" i="4"/>
  <c r="C81" i="4"/>
  <c r="L13" i="3"/>
  <c r="M18" i="3"/>
  <c r="C73" i="4"/>
  <c r="C70" i="4"/>
  <c r="C72" i="4"/>
  <c r="H25" i="3"/>
  <c r="G29" i="3"/>
  <c r="L33" i="3"/>
  <c r="H33" i="3"/>
  <c r="I36" i="3"/>
  <c r="D21" i="4"/>
  <c r="M39" i="3"/>
  <c r="M40" i="3"/>
  <c r="I40" i="3"/>
  <c r="C66" i="4"/>
  <c r="C80" i="4"/>
  <c r="C37" i="6"/>
  <c r="H18" i="7"/>
  <c r="C189" i="8"/>
  <c r="D190" i="8"/>
  <c r="C12" i="9"/>
  <c r="D93" i="11"/>
  <c r="M12" i="3"/>
  <c r="D14" i="8"/>
  <c r="D25" i="2"/>
  <c r="D27" i="3"/>
  <c r="D27" i="2"/>
  <c r="D48" i="2"/>
  <c r="M19" i="3"/>
  <c r="F41" i="11"/>
  <c r="C68" i="8"/>
  <c r="B14" i="3"/>
  <c r="B42" i="1"/>
  <c r="B94" i="1" s="1"/>
  <c r="B49" i="2"/>
  <c r="B43" i="3" s="1"/>
  <c r="C11" i="3"/>
  <c r="D88" i="8"/>
  <c r="G32" i="8"/>
  <c r="G30" i="8" s="1"/>
  <c r="C30" i="8" s="1"/>
  <c r="F32" i="8"/>
  <c r="F30" i="8" s="1"/>
  <c r="E32" i="8"/>
  <c r="E30" i="8" s="1"/>
  <c r="D39" i="2"/>
  <c r="D37" i="2"/>
  <c r="D37" i="3" s="1"/>
  <c r="C49" i="2"/>
  <c r="C43" i="3" s="1"/>
  <c r="D82" i="4"/>
  <c r="M9" i="3"/>
  <c r="D11" i="3"/>
  <c r="M34" i="3"/>
  <c r="B66" i="4"/>
  <c r="B80" i="4"/>
  <c r="C89" i="1"/>
  <c r="C20" i="3" s="1"/>
  <c r="D50" i="8"/>
  <c r="C37" i="2"/>
  <c r="C37" i="3" s="1"/>
  <c r="C36" i="3"/>
  <c r="M36" i="3" s="1"/>
  <c r="D4" i="3"/>
  <c r="D6" i="3"/>
  <c r="D67" i="4"/>
  <c r="D81" i="4"/>
  <c r="M13" i="3"/>
  <c r="L26" i="3"/>
  <c r="G28" i="3"/>
  <c r="H30" i="3"/>
  <c r="M33" i="3"/>
  <c r="I33" i="3"/>
  <c r="G35" i="3"/>
  <c r="G39" i="3"/>
  <c r="D66" i="4"/>
  <c r="C122" i="8"/>
  <c r="D180" i="8"/>
  <c r="D124" i="8"/>
  <c r="C124" i="8" s="1"/>
  <c r="E124" i="8"/>
  <c r="E125" i="8" s="1"/>
  <c r="E133" i="8" s="1"/>
  <c r="D178" i="8"/>
  <c r="C176" i="8"/>
  <c r="B50" i="2"/>
  <c r="M32" i="3"/>
  <c r="D17" i="4"/>
  <c r="I32" i="3"/>
  <c r="F180" i="8"/>
  <c r="F182" i="8" s="1"/>
  <c r="F183" i="8" s="1"/>
  <c r="F192" i="8" s="1"/>
  <c r="F124" i="8"/>
  <c r="F125" i="8" s="1"/>
  <c r="F133" i="8" s="1"/>
  <c r="C146" i="8"/>
  <c r="F29" i="8"/>
  <c r="G29" i="8" s="1"/>
  <c r="C25" i="2"/>
  <c r="C27" i="2"/>
  <c r="C27" i="3"/>
  <c r="L14" i="3"/>
  <c r="E85" i="11"/>
  <c r="D125" i="11"/>
  <c r="C16" i="3"/>
  <c r="C23" i="4"/>
  <c r="L41" i="3"/>
  <c r="H41" i="3"/>
  <c r="C36" i="4" s="1"/>
  <c r="B25" i="2"/>
  <c r="B30" i="3"/>
  <c r="M7" i="3"/>
  <c r="D80" i="4"/>
  <c r="D16" i="3"/>
  <c r="B73" i="4"/>
  <c r="B13" i="4"/>
  <c r="B72" i="4"/>
  <c r="G25" i="3"/>
  <c r="B67" i="4"/>
  <c r="C26" i="2"/>
  <c r="L25" i="3"/>
  <c r="L32" i="3"/>
  <c r="C17" i="4"/>
  <c r="H40" i="3"/>
  <c r="B74" i="4"/>
  <c r="E18" i="7"/>
  <c r="C15" i="8"/>
  <c r="D39" i="8"/>
  <c r="C40" i="8"/>
  <c r="D67" i="11"/>
  <c r="E154" i="8"/>
  <c r="F85" i="8"/>
  <c r="E162" i="8"/>
  <c r="D78" i="11"/>
  <c r="F190" i="8"/>
  <c r="E12" i="9"/>
  <c r="E17" i="9" s="1"/>
  <c r="C125" i="11"/>
  <c r="C45" i="11"/>
  <c r="C43" i="11"/>
  <c r="D49" i="2"/>
  <c r="D43" i="3" s="1"/>
  <c r="D70" i="4"/>
  <c r="D72" i="4"/>
  <c r="E38" i="11"/>
  <c r="G156" i="8"/>
  <c r="C156" i="8" s="1"/>
  <c r="D42" i="6"/>
  <c r="E45" i="8"/>
  <c r="C102" i="8"/>
  <c r="D162" i="8"/>
  <c r="F38" i="11"/>
  <c r="G146" i="8"/>
  <c r="E98" i="8"/>
  <c r="E96" i="8" s="1"/>
  <c r="G180" i="8"/>
  <c r="G182" i="8" s="1"/>
  <c r="G183" i="8" s="1"/>
  <c r="G124" i="8"/>
  <c r="G125" i="8" s="1"/>
  <c r="G133" i="8" s="1"/>
  <c r="C79" i="11"/>
  <c r="C77" i="11"/>
  <c r="C115" i="11"/>
  <c r="G28" i="8"/>
  <c r="G26" i="8" s="1"/>
  <c r="C26" i="8" s="1"/>
  <c r="D84" i="8"/>
  <c r="D148" i="8"/>
  <c r="C37" i="9"/>
  <c r="E37" i="9" s="1"/>
  <c r="C39" i="11"/>
  <c r="C37" i="11"/>
  <c r="C106" i="11"/>
  <c r="D79" i="8"/>
  <c r="F23" i="8"/>
  <c r="F21" i="8" s="1"/>
  <c r="F39" i="8" s="1"/>
  <c r="E23" i="8"/>
  <c r="E21" i="8" s="1"/>
  <c r="E39" i="8" s="1"/>
  <c r="F28" i="8"/>
  <c r="F26" i="8" s="1"/>
  <c r="C33" i="8"/>
  <c r="F98" i="8"/>
  <c r="F96" i="8" s="1"/>
  <c r="C28" i="9"/>
  <c r="E28" i="9" s="1"/>
  <c r="D100" i="8"/>
  <c r="C96" i="8"/>
  <c r="C55" i="9"/>
  <c r="E55" i="9" s="1"/>
  <c r="C51" i="9"/>
  <c r="E51" i="9" s="1"/>
  <c r="C47" i="9"/>
  <c r="E47" i="9" s="1"/>
  <c r="C43" i="9"/>
  <c r="E43" i="9" s="1"/>
  <c r="C39" i="9"/>
  <c r="E39" i="9" s="1"/>
  <c r="C35" i="9"/>
  <c r="E35" i="9" s="1"/>
  <c r="C31" i="9"/>
  <c r="E31" i="9" s="1"/>
  <c r="C27" i="9"/>
  <c r="E27" i="9" s="1"/>
  <c r="C40" i="9"/>
  <c r="E40" i="9" s="1"/>
  <c r="C33" i="9"/>
  <c r="E33" i="9" s="1"/>
  <c r="C26" i="9"/>
  <c r="E26" i="9" s="1"/>
  <c r="C52" i="9"/>
  <c r="E52" i="9" s="1"/>
  <c r="C45" i="9"/>
  <c r="E45" i="9" s="1"/>
  <c r="C38" i="9"/>
  <c r="E38" i="9" s="1"/>
  <c r="C50" i="9"/>
  <c r="E50" i="9" s="1"/>
  <c r="C32" i="9"/>
  <c r="E32" i="9" s="1"/>
  <c r="C25" i="9"/>
  <c r="C42" i="9"/>
  <c r="E42" i="9" s="1"/>
  <c r="C53" i="9"/>
  <c r="E53" i="9" s="1"/>
  <c r="C30" i="9"/>
  <c r="E30" i="9" s="1"/>
  <c r="C41" i="9"/>
  <c r="E41" i="9" s="1"/>
  <c r="B82" i="4"/>
  <c r="I25" i="3"/>
  <c r="G45" i="3"/>
  <c r="G42" i="8"/>
  <c r="G40" i="8" s="1"/>
  <c r="G45" i="8" s="1"/>
  <c r="G98" i="8"/>
  <c r="G96" i="8" s="1"/>
  <c r="C46" i="9"/>
  <c r="E46" i="9" s="1"/>
  <c r="F33" i="11"/>
  <c r="E40" i="11"/>
  <c r="D42" i="11"/>
  <c r="D40" i="11" s="1"/>
  <c r="D163" i="8"/>
  <c r="D157" i="8"/>
  <c r="E163" i="8"/>
  <c r="C65" i="8"/>
  <c r="D74" i="8"/>
  <c r="C67" i="11"/>
  <c r="E157" i="8"/>
  <c r="F105" i="8"/>
  <c r="C46" i="8"/>
  <c r="C41" i="11"/>
  <c r="E189" i="8"/>
  <c r="E32" i="11"/>
  <c r="E33" i="11" s="1"/>
  <c r="C186" i="8"/>
  <c r="F103" i="8" l="1"/>
  <c r="G105" i="8"/>
  <c r="G103" i="8" s="1"/>
  <c r="G163" i="8" s="1"/>
  <c r="E44" i="11"/>
  <c r="E106" i="11" s="1"/>
  <c r="F71" i="8"/>
  <c r="G23" i="8"/>
  <c r="G21" i="8" s="1"/>
  <c r="G39" i="8" s="1"/>
  <c r="C39" i="8" s="1"/>
  <c r="D68" i="11"/>
  <c r="D66" i="11" s="1"/>
  <c r="C24" i="7"/>
  <c r="C28" i="7"/>
  <c r="C26" i="7" s="1"/>
  <c r="C26" i="6" s="1"/>
  <c r="D26" i="6" s="1"/>
  <c r="C157" i="8"/>
  <c r="B15" i="4"/>
  <c r="L30" i="3"/>
  <c r="G30" i="3"/>
  <c r="C92" i="4"/>
  <c r="C6" i="4"/>
  <c r="L20" i="3"/>
  <c r="H20" i="3"/>
  <c r="C93" i="4"/>
  <c r="L11" i="3"/>
  <c r="H11" i="3"/>
  <c r="C22" i="3"/>
  <c r="B65" i="4"/>
  <c r="B79" i="4"/>
  <c r="B5" i="3"/>
  <c r="C65" i="4"/>
  <c r="C79" i="4"/>
  <c r="L6" i="3"/>
  <c r="C5" i="3"/>
  <c r="E93" i="11"/>
  <c r="F100" i="8"/>
  <c r="F159" i="8"/>
  <c r="F37" i="11"/>
  <c r="F39" i="11"/>
  <c r="E39" i="11"/>
  <c r="E37" i="11"/>
  <c r="B31" i="3"/>
  <c r="B40" i="2"/>
  <c r="B38" i="3" s="1"/>
  <c r="B42" i="2"/>
  <c r="B41" i="2"/>
  <c r="B25" i="4"/>
  <c r="G43" i="3"/>
  <c r="G37" i="3"/>
  <c r="B35" i="4" s="1"/>
  <c r="B19" i="4"/>
  <c r="D125" i="8"/>
  <c r="C120" i="8"/>
  <c r="E190" i="8"/>
  <c r="E192" i="8" s="1"/>
  <c r="D12" i="9"/>
  <c r="D17" i="9" s="1"/>
  <c r="D51" i="8"/>
  <c r="C14" i="4"/>
  <c r="H27" i="3"/>
  <c r="L27" i="3"/>
  <c r="D111" i="8"/>
  <c r="D109" i="8"/>
  <c r="D115" i="11"/>
  <c r="D77" i="11"/>
  <c r="D79" i="4"/>
  <c r="M6" i="3"/>
  <c r="D65" i="4"/>
  <c r="D5" i="3"/>
  <c r="B11" i="3"/>
  <c r="D39" i="11"/>
  <c r="D37" i="11" s="1"/>
  <c r="F78" i="11"/>
  <c r="G162" i="8"/>
  <c r="C162" i="8" s="1"/>
  <c r="C50" i="2"/>
  <c r="F93" i="11"/>
  <c r="D82" i="8"/>
  <c r="E84" i="8"/>
  <c r="E82" i="8" s="1"/>
  <c r="C94" i="4"/>
  <c r="C95" i="4"/>
  <c r="L16" i="3"/>
  <c r="H16" i="3"/>
  <c r="B55" i="2"/>
  <c r="B44" i="3"/>
  <c r="C19" i="4"/>
  <c r="L37" i="3"/>
  <c r="H37" i="3"/>
  <c r="C35" i="4" s="1"/>
  <c r="E14" i="8"/>
  <c r="D12" i="8"/>
  <c r="C19" i="6"/>
  <c r="D19" i="6" s="1"/>
  <c r="C23" i="7"/>
  <c r="D160" i="8"/>
  <c r="D101" i="8"/>
  <c r="G73" i="8"/>
  <c r="E50" i="8"/>
  <c r="F50" i="8" s="1"/>
  <c r="D106" i="8"/>
  <c r="D86" i="8"/>
  <c r="E88" i="8"/>
  <c r="E86" i="8" s="1"/>
  <c r="B43" i="1"/>
  <c r="B44" i="1" s="1"/>
  <c r="B92" i="1"/>
  <c r="B93" i="1"/>
  <c r="G159" i="8"/>
  <c r="G100" i="8"/>
  <c r="E79" i="8"/>
  <c r="E77" i="8" s="1"/>
  <c r="F79" i="8"/>
  <c r="F77" i="8" s="1"/>
  <c r="D77" i="8"/>
  <c r="C178" i="8"/>
  <c r="B77" i="4"/>
  <c r="B63" i="4"/>
  <c r="L15" i="3"/>
  <c r="H15" i="3"/>
  <c r="C110" i="11"/>
  <c r="C132" i="11"/>
  <c r="C51" i="2"/>
  <c r="D19" i="4"/>
  <c r="M37" i="3"/>
  <c r="I37" i="3"/>
  <c r="D35" i="4" s="1"/>
  <c r="D50" i="2"/>
  <c r="D52" i="2"/>
  <c r="D51" i="2"/>
  <c r="D42" i="3"/>
  <c r="C24" i="4"/>
  <c r="L42" i="3"/>
  <c r="H42" i="3"/>
  <c r="C42" i="11"/>
  <c r="C40" i="11"/>
  <c r="C36" i="11" s="1"/>
  <c r="G192" i="8"/>
  <c r="D94" i="4"/>
  <c r="M16" i="3"/>
  <c r="C31" i="3"/>
  <c r="C40" i="2"/>
  <c r="C38" i="3" s="1"/>
  <c r="C42" i="2"/>
  <c r="C41" i="2"/>
  <c r="D182" i="8"/>
  <c r="C182" i="8" s="1"/>
  <c r="C180" i="8"/>
  <c r="D77" i="4"/>
  <c r="M4" i="3"/>
  <c r="D63" i="4"/>
  <c r="D21" i="3"/>
  <c r="I15" i="3" s="1"/>
  <c r="D10" i="3"/>
  <c r="D14" i="4"/>
  <c r="I27" i="3"/>
  <c r="M27" i="3"/>
  <c r="C17" i="9"/>
  <c r="C52" i="2"/>
  <c r="C63" i="4"/>
  <c r="C77" i="4"/>
  <c r="L4" i="3"/>
  <c r="C10" i="3"/>
  <c r="C21" i="3"/>
  <c r="C97" i="4" s="1"/>
  <c r="H4" i="3"/>
  <c r="M15" i="3"/>
  <c r="M20" i="3"/>
  <c r="F85" i="11"/>
  <c r="F125" i="11" s="1"/>
  <c r="E125" i="11"/>
  <c r="C66" i="11"/>
  <c r="C68" i="11"/>
  <c r="H43" i="3"/>
  <c r="C25" i="4"/>
  <c r="L43" i="3"/>
  <c r="E71" i="8"/>
  <c r="D44" i="11"/>
  <c r="D106" i="11" s="1"/>
  <c r="E25" i="9"/>
  <c r="E56" i="9" s="1"/>
  <c r="B66" i="9" s="1"/>
  <c r="B68" i="9" s="1"/>
  <c r="C56" i="9"/>
  <c r="E100" i="8"/>
  <c r="E159" i="8"/>
  <c r="C159" i="8" s="1"/>
  <c r="E42" i="6"/>
  <c r="D45" i="6"/>
  <c r="I43" i="3"/>
  <c r="M43" i="3"/>
  <c r="D25" i="4"/>
  <c r="E67" i="11"/>
  <c r="F154" i="8"/>
  <c r="G85" i="8"/>
  <c r="C29" i="8"/>
  <c r="B52" i="2"/>
  <c r="C18" i="4"/>
  <c r="H36" i="3"/>
  <c r="L36" i="3"/>
  <c r="D97" i="4"/>
  <c r="M11" i="3"/>
  <c r="I11" i="3"/>
  <c r="D87" i="4"/>
  <c r="D22" i="3"/>
  <c r="F42" i="11"/>
  <c r="F40" i="11" s="1"/>
  <c r="D40" i="2"/>
  <c r="D38" i="3" s="1"/>
  <c r="D42" i="2"/>
  <c r="D41" i="2"/>
  <c r="D31" i="3"/>
  <c r="B6" i="4"/>
  <c r="E115" i="11"/>
  <c r="E77" i="11"/>
  <c r="C92" i="1"/>
  <c r="F51" i="8" l="1"/>
  <c r="G50" i="8"/>
  <c r="C50" i="8" s="1"/>
  <c r="F67" i="11"/>
  <c r="G154" i="8"/>
  <c r="C154" i="8" s="1"/>
  <c r="C85" i="8"/>
  <c r="E106" i="8"/>
  <c r="F106" i="8" s="1"/>
  <c r="D83" i="11"/>
  <c r="C83" i="11"/>
  <c r="D164" i="8"/>
  <c r="C73" i="11"/>
  <c r="D153" i="8"/>
  <c r="E160" i="8"/>
  <c r="C160" i="8" s="1"/>
  <c r="E101" i="8"/>
  <c r="B20" i="4"/>
  <c r="G38" i="3"/>
  <c r="F148" i="8"/>
  <c r="F74" i="8"/>
  <c r="E51" i="8"/>
  <c r="C51" i="8" s="1"/>
  <c r="C20" i="4"/>
  <c r="H38" i="3"/>
  <c r="L38" i="3"/>
  <c r="D152" i="8"/>
  <c r="C64" i="11"/>
  <c r="D95" i="8"/>
  <c r="F14" i="8"/>
  <c r="E12" i="8"/>
  <c r="C55" i="2"/>
  <c r="C44" i="3"/>
  <c r="B97" i="4"/>
  <c r="B22" i="3"/>
  <c r="B87" i="4"/>
  <c r="C125" i="8"/>
  <c r="D133" i="8"/>
  <c r="C133" i="8" s="1"/>
  <c r="G31" i="3"/>
  <c r="B34" i="4" s="1"/>
  <c r="B16" i="4"/>
  <c r="F160" i="8"/>
  <c r="F101" i="8"/>
  <c r="E45" i="11"/>
  <c r="E43" i="11" s="1"/>
  <c r="E36" i="11" s="1"/>
  <c r="C28" i="11"/>
  <c r="C31" i="11" s="1"/>
  <c r="C32" i="11" s="1"/>
  <c r="C25" i="7"/>
  <c r="D27" i="7" s="1"/>
  <c r="C24" i="6"/>
  <c r="D24" i="6" s="1"/>
  <c r="C29" i="7"/>
  <c r="D20" i="4"/>
  <c r="M38" i="3"/>
  <c r="I38" i="3"/>
  <c r="E68" i="11"/>
  <c r="E66" i="11"/>
  <c r="D62" i="4"/>
  <c r="D76" i="4"/>
  <c r="D58" i="4"/>
  <c r="M21" i="3"/>
  <c r="D53" i="4"/>
  <c r="I21" i="3"/>
  <c r="D5" i="4"/>
  <c r="D69" i="4"/>
  <c r="D93" i="4"/>
  <c r="I14" i="3"/>
  <c r="I7" i="3"/>
  <c r="I18" i="3"/>
  <c r="I17" i="3"/>
  <c r="I9" i="3"/>
  <c r="I20" i="3"/>
  <c r="I8" i="3"/>
  <c r="I12" i="3"/>
  <c r="I19" i="3"/>
  <c r="I13" i="3"/>
  <c r="B12" i="9"/>
  <c r="I4" i="3"/>
  <c r="E64" i="11"/>
  <c r="F152" i="8"/>
  <c r="D96" i="4"/>
  <c r="B17" i="9"/>
  <c r="I16" i="3"/>
  <c r="E155" i="8"/>
  <c r="D70" i="11"/>
  <c r="F115" i="11"/>
  <c r="F77" i="11"/>
  <c r="E132" i="11"/>
  <c r="E110" i="11"/>
  <c r="C190" i="8"/>
  <c r="I22" i="3"/>
  <c r="M22" i="3"/>
  <c r="D45" i="11"/>
  <c r="D43" i="11" s="1"/>
  <c r="D36" i="11" s="1"/>
  <c r="C62" i="4"/>
  <c r="C76" i="4"/>
  <c r="C58" i="4"/>
  <c r="L21" i="3"/>
  <c r="C5" i="4"/>
  <c r="H21" i="3"/>
  <c r="C53" i="4"/>
  <c r="H13" i="3"/>
  <c r="C69" i="4"/>
  <c r="H17" i="3"/>
  <c r="H12" i="3"/>
  <c r="H19" i="3"/>
  <c r="H9" i="3"/>
  <c r="H8" i="3"/>
  <c r="H18" i="3"/>
  <c r="H14" i="3"/>
  <c r="H7" i="3"/>
  <c r="E152" i="8"/>
  <c r="D64" i="11"/>
  <c r="E95" i="8"/>
  <c r="F88" i="8"/>
  <c r="C75" i="11"/>
  <c r="D161" i="8"/>
  <c r="F84" i="8"/>
  <c r="I6" i="3"/>
  <c r="H6" i="3"/>
  <c r="F163" i="8"/>
  <c r="C163" i="8" s="1"/>
  <c r="C103" i="8"/>
  <c r="B57" i="2"/>
  <c r="B43" i="4"/>
  <c r="B47" i="3"/>
  <c r="B56" i="2"/>
  <c r="D110" i="11"/>
  <c r="D132" i="11"/>
  <c r="L22" i="3"/>
  <c r="H22" i="3"/>
  <c r="D91" i="4"/>
  <c r="D90" i="4"/>
  <c r="M10" i="3"/>
  <c r="I10" i="3"/>
  <c r="D48" i="4"/>
  <c r="D183" i="8"/>
  <c r="G51" i="8"/>
  <c r="D44" i="3"/>
  <c r="D55" i="2"/>
  <c r="D18" i="8"/>
  <c r="D147" i="8"/>
  <c r="L31" i="3"/>
  <c r="C16" i="4"/>
  <c r="H31" i="3"/>
  <c r="C34" i="4" s="1"/>
  <c r="D85" i="4"/>
  <c r="D64" i="4"/>
  <c r="I5" i="3"/>
  <c r="M5" i="3"/>
  <c r="D86" i="4"/>
  <c r="D7" i="4"/>
  <c r="D78" i="4"/>
  <c r="D71" i="4"/>
  <c r="B86" i="4"/>
  <c r="B78" i="4"/>
  <c r="B64" i="4"/>
  <c r="B85" i="4"/>
  <c r="G5" i="3"/>
  <c r="B7" i="4"/>
  <c r="B10" i="4" s="1"/>
  <c r="B71" i="4"/>
  <c r="C68" i="9"/>
  <c r="C21" i="8"/>
  <c r="B21" i="3"/>
  <c r="B96" i="4" s="1"/>
  <c r="G79" i="8"/>
  <c r="G77" i="8" s="1"/>
  <c r="F44" i="11"/>
  <c r="G71" i="8"/>
  <c r="E153" i="8"/>
  <c r="D73" i="11"/>
  <c r="D112" i="8"/>
  <c r="M31" i="3"/>
  <c r="D16" i="4"/>
  <c r="I31" i="3"/>
  <c r="D34" i="4" s="1"/>
  <c r="E45" i="6"/>
  <c r="F42" i="6"/>
  <c r="E148" i="8"/>
  <c r="E74" i="8"/>
  <c r="C90" i="4"/>
  <c r="H10" i="3"/>
  <c r="C91" i="4"/>
  <c r="C48" i="4"/>
  <c r="D95" i="4"/>
  <c r="D24" i="4"/>
  <c r="I42" i="3"/>
  <c r="M42" i="3"/>
  <c r="C55" i="11"/>
  <c r="D58" i="11"/>
  <c r="B10" i="3"/>
  <c r="L10" i="3" s="1"/>
  <c r="G101" i="8"/>
  <c r="G160" i="8"/>
  <c r="D155" i="8"/>
  <c r="C70" i="11"/>
  <c r="G44" i="3"/>
  <c r="B37" i="4" s="1"/>
  <c r="B26" i="4"/>
  <c r="C85" i="4"/>
  <c r="C64" i="4"/>
  <c r="L5" i="3"/>
  <c r="C86" i="4"/>
  <c r="H5" i="3"/>
  <c r="C78" i="4"/>
  <c r="C7" i="4"/>
  <c r="C10" i="4" s="1"/>
  <c r="C71" i="4"/>
  <c r="C96" i="4"/>
  <c r="F164" i="8" l="1"/>
  <c r="F83" i="11"/>
  <c r="G106" i="8"/>
  <c r="G164" i="8" s="1"/>
  <c r="C106" i="8"/>
  <c r="C52" i="4"/>
  <c r="C57" i="4"/>
  <c r="D26" i="4"/>
  <c r="M44" i="3"/>
  <c r="I44" i="3"/>
  <c r="D37" i="4" s="1"/>
  <c r="C152" i="8"/>
  <c r="H44" i="3"/>
  <c r="C37" i="4" s="1"/>
  <c r="C26" i="4"/>
  <c r="L44" i="3"/>
  <c r="D192" i="8"/>
  <c r="C192" i="8" s="1"/>
  <c r="C183" i="8"/>
  <c r="C43" i="4"/>
  <c r="C57" i="2"/>
  <c r="C47" i="3"/>
  <c r="C56" i="2"/>
  <c r="C20" i="11" s="1"/>
  <c r="C21" i="11" s="1"/>
  <c r="G148" i="8"/>
  <c r="C148" i="8" s="1"/>
  <c r="G74" i="8"/>
  <c r="C74" i="8" s="1"/>
  <c r="D10" i="4"/>
  <c r="D8" i="4"/>
  <c r="D123" i="11"/>
  <c r="D121" i="11" s="1"/>
  <c r="D126" i="11" s="1"/>
  <c r="D81" i="11"/>
  <c r="D80" i="11" s="1"/>
  <c r="C8" i="4"/>
  <c r="C9" i="4" s="1"/>
  <c r="C71" i="11"/>
  <c r="C69" i="11" s="1"/>
  <c r="E111" i="8"/>
  <c r="E109" i="8"/>
  <c r="F64" i="11"/>
  <c r="G95" i="8"/>
  <c r="G152" i="8"/>
  <c r="D52" i="8"/>
  <c r="D55" i="8"/>
  <c r="D53" i="8"/>
  <c r="D149" i="8"/>
  <c r="D52" i="4"/>
  <c r="D57" i="4"/>
  <c r="D112" i="11"/>
  <c r="D65" i="11"/>
  <c r="D63" i="11" s="1"/>
  <c r="D158" i="8"/>
  <c r="D107" i="8"/>
  <c r="F109" i="8"/>
  <c r="F111" i="8"/>
  <c r="G161" i="8"/>
  <c r="F75" i="11"/>
  <c r="F45" i="6"/>
  <c r="G42" i="6"/>
  <c r="G45" i="6" s="1"/>
  <c r="B49" i="4"/>
  <c r="B45" i="4"/>
  <c r="C29" i="6"/>
  <c r="D29" i="6" s="1"/>
  <c r="C13" i="11"/>
  <c r="C14" i="11" s="1"/>
  <c r="C22" i="11" s="1"/>
  <c r="C33" i="11" s="1"/>
  <c r="B91" i="4"/>
  <c r="B90" i="4"/>
  <c r="G10" i="3"/>
  <c r="B48" i="4"/>
  <c r="D74" i="11"/>
  <c r="D72" i="11" s="1"/>
  <c r="C101" i="8"/>
  <c r="F68" i="11"/>
  <c r="F66" i="11" s="1"/>
  <c r="C76" i="11"/>
  <c r="C113" i="11" s="1"/>
  <c r="D71" i="11"/>
  <c r="D69" i="11" s="1"/>
  <c r="C60" i="11"/>
  <c r="C119" i="11"/>
  <c r="F86" i="8"/>
  <c r="G88" i="8"/>
  <c r="G86" i="8" s="1"/>
  <c r="E65" i="11"/>
  <c r="E63" i="11"/>
  <c r="E147" i="8"/>
  <c r="E18" i="8"/>
  <c r="F45" i="11"/>
  <c r="F106" i="11"/>
  <c r="E158" i="8"/>
  <c r="E107" i="8"/>
  <c r="E165" i="8" s="1"/>
  <c r="D11" i="9" s="1"/>
  <c r="G14" i="8"/>
  <c r="G12" i="8" s="1"/>
  <c r="F12" i="8"/>
  <c r="C71" i="8"/>
  <c r="B62" i="4"/>
  <c r="B76" i="4"/>
  <c r="B58" i="4"/>
  <c r="B53" i="4"/>
  <c r="G20" i="3"/>
  <c r="G13" i="3"/>
  <c r="G16" i="3"/>
  <c r="B93" i="4"/>
  <c r="B5" i="4"/>
  <c r="G18" i="3"/>
  <c r="G12" i="3"/>
  <c r="G17" i="3"/>
  <c r="G21" i="3"/>
  <c r="G9" i="3"/>
  <c r="G7" i="3"/>
  <c r="G19" i="3"/>
  <c r="B69" i="4"/>
  <c r="G8" i="3"/>
  <c r="B95" i="4"/>
  <c r="G15" i="3"/>
  <c r="G14" i="3"/>
  <c r="G4" i="3"/>
  <c r="G6" i="3"/>
  <c r="C12" i="8"/>
  <c r="F161" i="8"/>
  <c r="E75" i="11"/>
  <c r="G11" i="3"/>
  <c r="C77" i="8"/>
  <c r="D68" i="9"/>
  <c r="D75" i="11"/>
  <c r="E161" i="8"/>
  <c r="C161" i="8" s="1"/>
  <c r="E58" i="11"/>
  <c r="D55" i="11"/>
  <c r="C81" i="11"/>
  <c r="C80" i="11" s="1"/>
  <c r="C123" i="11"/>
  <c r="C121" i="11" s="1"/>
  <c r="C126" i="11" s="1"/>
  <c r="E164" i="8"/>
  <c r="C164" i="8" s="1"/>
  <c r="E83" i="11"/>
  <c r="D43" i="4"/>
  <c r="D57" i="2"/>
  <c r="D47" i="3"/>
  <c r="D56" i="2"/>
  <c r="B28" i="4"/>
  <c r="B48" i="3"/>
  <c r="G47" i="3"/>
  <c r="B38" i="4" s="1"/>
  <c r="F82" i="8"/>
  <c r="G84" i="8"/>
  <c r="G82" i="8" s="1"/>
  <c r="B8" i="4"/>
  <c r="G22" i="3"/>
  <c r="C65" i="11"/>
  <c r="C63" i="11" s="1"/>
  <c r="C62" i="11" s="1"/>
  <c r="C86" i="11" s="1"/>
  <c r="C112" i="11"/>
  <c r="C74" i="11"/>
  <c r="C72" i="11"/>
  <c r="C93" i="11" l="1"/>
  <c r="C116" i="11"/>
  <c r="C87" i="11"/>
  <c r="C94" i="11" s="1"/>
  <c r="C28" i="4"/>
  <c r="L47" i="3"/>
  <c r="H47" i="3"/>
  <c r="C38" i="4" s="1"/>
  <c r="C48" i="3"/>
  <c r="B29" i="4"/>
  <c r="G48" i="3"/>
  <c r="B49" i="3"/>
  <c r="F18" i="8"/>
  <c r="F147" i="8"/>
  <c r="C147" i="8" s="1"/>
  <c r="E52" i="8"/>
  <c r="E55" i="8"/>
  <c r="E53" i="8"/>
  <c r="E56" i="8" s="1"/>
  <c r="B47" i="4"/>
  <c r="B51" i="4" s="1"/>
  <c r="C8" i="9"/>
  <c r="G18" i="8"/>
  <c r="G147" i="8"/>
  <c r="D56" i="8"/>
  <c r="D167" i="8"/>
  <c r="E112" i="8"/>
  <c r="E167" i="8"/>
  <c r="D13" i="9" s="1"/>
  <c r="D14" i="9" s="1"/>
  <c r="E55" i="11"/>
  <c r="F58" i="11"/>
  <c r="F55" i="11" s="1"/>
  <c r="C89" i="11"/>
  <c r="C92" i="11" s="1"/>
  <c r="C127" i="11"/>
  <c r="C129" i="11"/>
  <c r="F65" i="11"/>
  <c r="E123" i="11"/>
  <c r="E121" i="11" s="1"/>
  <c r="E126" i="11" s="1"/>
  <c r="E81" i="11"/>
  <c r="E80" i="11" s="1"/>
  <c r="D76" i="11"/>
  <c r="D113" i="11" s="1"/>
  <c r="D116" i="11" s="1"/>
  <c r="E68" i="9"/>
  <c r="D89" i="11"/>
  <c r="D92" i="11" s="1"/>
  <c r="C18" i="8"/>
  <c r="M47" i="3"/>
  <c r="I47" i="3"/>
  <c r="D38" i="4" s="1"/>
  <c r="D48" i="3"/>
  <c r="D28" i="4"/>
  <c r="D169" i="8"/>
  <c r="D9" i="4"/>
  <c r="F132" i="11"/>
  <c r="F110" i="11"/>
  <c r="D165" i="8"/>
  <c r="D108" i="8"/>
  <c r="D57" i="8"/>
  <c r="E108" i="8"/>
  <c r="F123" i="11"/>
  <c r="F121" i="11" s="1"/>
  <c r="F126" i="11" s="1"/>
  <c r="F81" i="11"/>
  <c r="F80" i="11" s="1"/>
  <c r="F153" i="8"/>
  <c r="E73" i="11"/>
  <c r="F95" i="8"/>
  <c r="C82" i="8"/>
  <c r="F155" i="8"/>
  <c r="C155" i="8" s="1"/>
  <c r="E70" i="11"/>
  <c r="C86" i="8"/>
  <c r="G158" i="8"/>
  <c r="G107" i="8"/>
  <c r="G165" i="8" s="1"/>
  <c r="F11" i="9" s="1"/>
  <c r="B52" i="4"/>
  <c r="B57" i="4"/>
  <c r="F112" i="8"/>
  <c r="E169" i="8"/>
  <c r="C45" i="4"/>
  <c r="C49" i="4"/>
  <c r="C47" i="4"/>
  <c r="C51" i="4" s="1"/>
  <c r="E149" i="8"/>
  <c r="D8" i="9" s="1"/>
  <c r="D10" i="9" s="1"/>
  <c r="G153" i="8"/>
  <c r="F73" i="11"/>
  <c r="F112" i="11" s="1"/>
  <c r="F116" i="11" s="1"/>
  <c r="F130" i="11" s="1"/>
  <c r="D47" i="4"/>
  <c r="D51" i="4" s="1"/>
  <c r="D49" i="4"/>
  <c r="D45" i="4"/>
  <c r="D119" i="11"/>
  <c r="D60" i="11"/>
  <c r="E76" i="11"/>
  <c r="E113" i="11"/>
  <c r="F43" i="11"/>
  <c r="F36" i="11" s="1"/>
  <c r="F70" i="11"/>
  <c r="G155" i="8"/>
  <c r="F76" i="11"/>
  <c r="F113" i="11"/>
  <c r="G149" i="8"/>
  <c r="F8" i="9" s="1"/>
  <c r="G109" i="8"/>
  <c r="G108" i="8"/>
  <c r="G111" i="8"/>
  <c r="D130" i="11" l="1"/>
  <c r="D117" i="11"/>
  <c r="E71" i="11"/>
  <c r="E69" i="11"/>
  <c r="G49" i="3"/>
  <c r="B40" i="4" s="1"/>
  <c r="B30" i="4"/>
  <c r="B44" i="4"/>
  <c r="B50" i="3"/>
  <c r="F63" i="11"/>
  <c r="F158" i="8"/>
  <c r="C158" i="8" s="1"/>
  <c r="F107" i="8"/>
  <c r="C95" i="8"/>
  <c r="D166" i="8"/>
  <c r="D113" i="8"/>
  <c r="F68" i="9"/>
  <c r="E170" i="8"/>
  <c r="C130" i="11"/>
  <c r="C131" i="11" s="1"/>
  <c r="C133" i="11" s="1"/>
  <c r="C117" i="11"/>
  <c r="C128" i="11" s="1"/>
  <c r="G167" i="8"/>
  <c r="F13" i="9" s="1"/>
  <c r="F14" i="9" s="1"/>
  <c r="G112" i="8"/>
  <c r="F10" i="9"/>
  <c r="E119" i="11"/>
  <c r="E60" i="11"/>
  <c r="D87" i="11"/>
  <c r="D127" i="11"/>
  <c r="D129" i="11"/>
  <c r="D131" i="11" s="1"/>
  <c r="D133" i="11" s="1"/>
  <c r="D59" i="8"/>
  <c r="E58" i="8" s="1"/>
  <c r="E74" i="11"/>
  <c r="E72" i="11"/>
  <c r="E112" i="11"/>
  <c r="E116" i="11" s="1"/>
  <c r="D29" i="4"/>
  <c r="M48" i="3"/>
  <c r="I48" i="3"/>
  <c r="D49" i="3"/>
  <c r="C13" i="9"/>
  <c r="D62" i="11"/>
  <c r="D86" i="11" s="1"/>
  <c r="F55" i="8"/>
  <c r="F52" i="8"/>
  <c r="F53" i="8"/>
  <c r="F149" i="8"/>
  <c r="E8" i="9" s="1"/>
  <c r="E10" i="9" s="1"/>
  <c r="C109" i="8"/>
  <c r="C10" i="9"/>
  <c r="F71" i="11"/>
  <c r="F69" i="11" s="1"/>
  <c r="C153" i="8"/>
  <c r="C11" i="9"/>
  <c r="C53" i="8"/>
  <c r="C29" i="4"/>
  <c r="H48" i="3"/>
  <c r="L48" i="3"/>
  <c r="C49" i="3"/>
  <c r="C96" i="11"/>
  <c r="C98" i="11" s="1"/>
  <c r="D97" i="11" s="1"/>
  <c r="F60" i="11"/>
  <c r="F119" i="11"/>
  <c r="F127" i="11" s="1"/>
  <c r="D15" i="9"/>
  <c r="E166" i="8"/>
  <c r="E113" i="8"/>
  <c r="G53" i="8"/>
  <c r="G52" i="8"/>
  <c r="G55" i="8"/>
  <c r="G169" i="8"/>
  <c r="G166" i="8"/>
  <c r="F74" i="11"/>
  <c r="F72" i="11" s="1"/>
  <c r="C111" i="8"/>
  <c r="F117" i="11"/>
  <c r="D170" i="8"/>
  <c r="E57" i="8"/>
  <c r="C88" i="11"/>
  <c r="B8" i="9" l="1"/>
  <c r="C149" i="8"/>
  <c r="B10" i="9"/>
  <c r="G170" i="8"/>
  <c r="F87" i="11"/>
  <c r="E87" i="11"/>
  <c r="E62" i="11"/>
  <c r="E86" i="11" s="1"/>
  <c r="F56" i="8"/>
  <c r="F167" i="8"/>
  <c r="E127" i="11"/>
  <c r="E129" i="11"/>
  <c r="C112" i="8"/>
  <c r="F165" i="8"/>
  <c r="F108" i="8"/>
  <c r="C107" i="8"/>
  <c r="E89" i="11"/>
  <c r="E92" i="11" s="1"/>
  <c r="B56" i="4"/>
  <c r="B54" i="4"/>
  <c r="B59" i="4" s="1"/>
  <c r="G113" i="8"/>
  <c r="F128" i="11"/>
  <c r="G57" i="8"/>
  <c r="F57" i="8"/>
  <c r="C57" i="8" s="1"/>
  <c r="C52" i="8"/>
  <c r="E59" i="8"/>
  <c r="F58" i="8" s="1"/>
  <c r="F59" i="8" s="1"/>
  <c r="G58" i="8" s="1"/>
  <c r="F89" i="11"/>
  <c r="F92" i="11" s="1"/>
  <c r="D171" i="8"/>
  <c r="D136" i="8"/>
  <c r="C61" i="9"/>
  <c r="C63" i="9" s="1"/>
  <c r="D16" i="9"/>
  <c r="L49" i="3"/>
  <c r="H49" i="3"/>
  <c r="C40" i="4" s="1"/>
  <c r="C44" i="4"/>
  <c r="C50" i="3"/>
  <c r="C30" i="4"/>
  <c r="F169" i="8"/>
  <c r="C169" i="8" s="1"/>
  <c r="C55" i="8"/>
  <c r="G68" i="9"/>
  <c r="F62" i="11"/>
  <c r="F86" i="11" s="1"/>
  <c r="D128" i="11"/>
  <c r="C14" i="9"/>
  <c r="C15" i="9" s="1"/>
  <c r="D94" i="11"/>
  <c r="D96" i="11" s="1"/>
  <c r="D98" i="11" s="1"/>
  <c r="E97" i="11" s="1"/>
  <c r="D88" i="11"/>
  <c r="D44" i="4"/>
  <c r="M49" i="3"/>
  <c r="D30" i="4"/>
  <c r="I49" i="3"/>
  <c r="D40" i="4" s="1"/>
  <c r="D50" i="3"/>
  <c r="F129" i="11"/>
  <c r="F131" i="11" s="1"/>
  <c r="F133" i="11" s="1"/>
  <c r="G56" i="8"/>
  <c r="E171" i="8"/>
  <c r="E195" i="8" s="1"/>
  <c r="E136" i="8"/>
  <c r="E130" i="11"/>
  <c r="E117" i="11"/>
  <c r="E128" i="11" s="1"/>
  <c r="F15" i="9"/>
  <c r="B31" i="4"/>
  <c r="G50" i="3"/>
  <c r="B39" i="4" s="1"/>
  <c r="B61" i="9" l="1"/>
  <c r="B63" i="9" s="1"/>
  <c r="C16" i="9"/>
  <c r="F166" i="8"/>
  <c r="C166" i="8" s="1"/>
  <c r="F113" i="8"/>
  <c r="C108" i="8"/>
  <c r="F16" i="9"/>
  <c r="E61" i="9"/>
  <c r="G69" i="9" s="1"/>
  <c r="E11" i="9"/>
  <c r="C165" i="8"/>
  <c r="C56" i="4"/>
  <c r="C54" i="4"/>
  <c r="C59" i="4" s="1"/>
  <c r="D195" i="8"/>
  <c r="G171" i="8"/>
  <c r="G195" i="8" s="1"/>
  <c r="G136" i="8"/>
  <c r="E94" i="11"/>
  <c r="E96" i="11" s="1"/>
  <c r="E98" i="11" s="1"/>
  <c r="F97" i="11" s="1"/>
  <c r="F98" i="11" s="1"/>
  <c r="E88" i="11"/>
  <c r="C31" i="4"/>
  <c r="L50" i="3"/>
  <c r="H50" i="3"/>
  <c r="C39" i="4" s="1"/>
  <c r="F94" i="11"/>
  <c r="F96" i="11" s="1"/>
  <c r="F88" i="11"/>
  <c r="D138" i="8"/>
  <c r="E137" i="8" s="1"/>
  <c r="E138" i="8" s="1"/>
  <c r="F137" i="8" s="1"/>
  <c r="E131" i="11"/>
  <c r="E133" i="11" s="1"/>
  <c r="D54" i="4"/>
  <c r="D59" i="4" s="1"/>
  <c r="D56" i="4"/>
  <c r="G59" i="8"/>
  <c r="E13" i="9"/>
  <c r="B13" i="9" s="1"/>
  <c r="C167" i="8"/>
  <c r="H68" i="9"/>
  <c r="F170" i="8"/>
  <c r="C170" i="8" s="1"/>
  <c r="C56" i="8"/>
  <c r="D31" i="4"/>
  <c r="M50" i="3"/>
  <c r="I50" i="3"/>
  <c r="D39" i="4" s="1"/>
  <c r="I68" i="9" l="1"/>
  <c r="H69" i="9"/>
  <c r="F171" i="8"/>
  <c r="F136" i="8"/>
  <c r="C113" i="8"/>
  <c r="E14" i="9"/>
  <c r="B11" i="9"/>
  <c r="B69" i="9"/>
  <c r="C69" i="9"/>
  <c r="D69" i="9"/>
  <c r="E69" i="9"/>
  <c r="F69" i="9"/>
  <c r="F195" i="8" l="1"/>
  <c r="C195" i="8" s="1"/>
  <c r="C171" i="8"/>
  <c r="F138" i="8"/>
  <c r="G137" i="8" s="1"/>
  <c r="G138" i="8" s="1"/>
  <c r="C136" i="8"/>
  <c r="E15" i="9"/>
  <c r="B14" i="9"/>
  <c r="I69" i="9"/>
  <c r="J68" i="9"/>
  <c r="E16" i="9" l="1"/>
  <c r="D61" i="9"/>
  <c r="D63" i="9" s="1"/>
  <c r="B15" i="9"/>
  <c r="C19" i="9"/>
  <c r="B19" i="9"/>
  <c r="K68" i="9"/>
  <c r="J69" i="9"/>
  <c r="B72" i="9" l="1"/>
  <c r="K69" i="9"/>
  <c r="B16" i="9"/>
  <c r="B18" i="9"/>
  <c r="B73" i="9" l="1"/>
  <c r="C72" i="9"/>
  <c r="C73" i="9" l="1"/>
  <c r="D72" i="9"/>
  <c r="E72" i="9" l="1"/>
  <c r="D73" i="9"/>
  <c r="E73" i="9" l="1"/>
  <c r="F72" i="9"/>
  <c r="G72" i="9" l="1"/>
  <c r="F73" i="9"/>
  <c r="H72" i="9" l="1"/>
  <c r="G73" i="9"/>
  <c r="I72" i="9" l="1"/>
  <c r="H73" i="9"/>
  <c r="I73" i="9" l="1"/>
  <c r="J72" i="9"/>
  <c r="J73" i="9" l="1"/>
  <c r="K72" i="9"/>
  <c r="K73" i="9" l="1"/>
  <c r="B76" i="9"/>
  <c r="C76" i="9" l="1"/>
  <c r="B77" i="9"/>
  <c r="C77" i="9" l="1"/>
  <c r="D76" i="9"/>
  <c r="D77" i="9" l="1"/>
  <c r="E76" i="9"/>
  <c r="E77" i="9" l="1"/>
  <c r="F76" i="9"/>
  <c r="F77" i="9" l="1"/>
  <c r="G76" i="9"/>
  <c r="G77" i="9" l="1"/>
  <c r="H76" i="9"/>
  <c r="I76" i="9" l="1"/>
  <c r="H77" i="9"/>
  <c r="I77" i="9" l="1"/>
  <c r="J76" i="9"/>
  <c r="K76" i="9" l="1"/>
  <c r="J77" i="9"/>
  <c r="K77" i="9" l="1"/>
  <c r="B80" i="9"/>
  <c r="B81" i="9" l="1"/>
  <c r="C80" i="9"/>
  <c r="C81" i="9" l="1"/>
  <c r="D80" i="9"/>
  <c r="E80" i="9" l="1"/>
  <c r="D81" i="9"/>
  <c r="F80" i="9" l="1"/>
  <c r="E81" i="9"/>
  <c r="G80" i="9" l="1"/>
  <c r="F81" i="9"/>
  <c r="H80" i="9" l="1"/>
  <c r="G81" i="9"/>
  <c r="H81" i="9" l="1"/>
  <c r="I80" i="9"/>
  <c r="I81" i="9" l="1"/>
  <c r="J80" i="9"/>
  <c r="J81" i="9" l="1"/>
  <c r="K80" i="9"/>
  <c r="K81" i="9" l="1"/>
  <c r="B84" i="9"/>
  <c r="B85" i="9" l="1"/>
  <c r="C84" i="9"/>
  <c r="C85" i="9" l="1"/>
  <c r="D84" i="9"/>
  <c r="E84" i="9" l="1"/>
  <c r="D85" i="9"/>
  <c r="E85" i="9" l="1"/>
  <c r="F84" i="9"/>
  <c r="G84" i="9" l="1"/>
  <c r="G85" i="9" s="1"/>
  <c r="F85" i="9"/>
  <c r="E62" i="9" s="1"/>
  <c r="E63" i="9" s="1"/>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<sst xmlns="http://schemas.openxmlformats.org/spreadsheetml/2006/main" count="947" uniqueCount="599">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</sst>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1"/>
      <color rgb="FF000000"/>
      <name val="Calibri"/>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2">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3" xfId="4" applyNumberFormat="1" applyFont="1" applyBorder="1" applyAlignment="1">
      <alignment horizontal="lef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27" fillId="0" borderId="0" xfId="0"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0" fontId="18" fillId="0" borderId="0" xfId="0" applyFont="1" applyAlignment="1">
      <alignment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0" fontId="19"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8" fillId="0" borderId="0" xfId="0" applyFon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1"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3" fontId="40" fillId="0" borderId="0" xfId="0" applyNumberFormat="1" applyFont="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4" fontId="21" fillId="0" borderId="0" xfId="1" applyNumberFormat="1" applyFont="1" applyAlignment="1">
      <alignment horizontal="right" vertical="top"/>
    </xf>
    <xf numFmtId="4" fontId="12" fillId="0" borderId="0" xfId="1" applyNumberFormat="1" applyFont="1" applyAlignment="1">
      <alignment horizontal="right" vertical="top"/>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4" fontId="39" fillId="0" borderId="0" xfId="0" applyNumberFormat="1" applyFont="1" applyAlignment="1">
      <alignmen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5"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39" fillId="0" borderId="0" xfId="0" applyNumberFormat="1" applyFont="1" applyAlignment="1">
      <alignment horizontal="right" vertical="top"/>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0" fontId="38" fillId="0" borderId="3" xfId="0" applyFont="1" applyBorder="1" applyAlignment="1">
      <alignment horizontal="center"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0" fontId="0" fillId="0" borderId="0" xfId="0" applyAlignment="1">
      <alignment vertical="top"/>
    </xf>
    <xf numFmtId="1" fontId="30" fillId="0" borderId="3" xfId="0" applyNumberFormat="1" applyFont="1" applyBorder="1" applyAlignment="1">
      <alignment horizontal="center" vertical="top"/>
    </xf>
    <xf numFmtId="0" fontId="46" fillId="2" borderId="15" xfId="0" applyFont="1" applyFill="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29" fillId="2" borderId="7" xfId="0" applyNumberFormat="1" applyFont="1" applyFill="1" applyBorder="1" applyAlignment="1" applyProtection="1">
      <alignment horizontal="right" vertical="top"/>
      <protection locked="0"/>
    </xf>
    <xf numFmtId="0" fontId="46" fillId="2" borderId="3" xfId="0" applyFont="1" applyFill="1" applyBorder="1" applyAlignment="1">
      <alignment horizontal="right" vertical="center" wrapText="1"/>
    </xf>
    <xf numFmtId="4" fontId="29" fillId="2" borderId="17"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6" fillId="2" borderId="3" xfId="0" applyFont="1" applyFill="1" applyBorder="1"/>
    <xf numFmtId="4" fontId="29" fillId="4" borderId="10" xfId="0" applyNumberFormat="1" applyFont="1" applyFill="1" applyBorder="1" applyAlignment="1">
      <alignment horizontal="right" vertical="top"/>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0" fontId="45" fillId="2" borderId="16" xfId="0" applyFont="1" applyFill="1" applyBorder="1" applyAlignment="1">
      <alignment vertical="center" wrapText="1"/>
    </xf>
    <xf numFmtId="0" fontId="29" fillId="0" borderId="4" xfId="0" applyFont="1" applyBorder="1" applyAlignment="1">
      <alignment vertical="top" wrapText="1"/>
    </xf>
    <xf numFmtId="4" fontId="29" fillId="2" borderId="5" xfId="0" applyNumberFormat="1" applyFont="1" applyFill="1" applyBorder="1" applyAlignment="1" applyProtection="1">
      <alignment vertical="top"/>
      <protection locked="0"/>
    </xf>
    <xf numFmtId="0" fontId="30" fillId="0" borderId="10" xfId="0" applyFont="1" applyBorder="1" applyAlignment="1">
      <alignment horizontal="center" vertical="top"/>
    </xf>
    <xf numFmtId="4" fontId="29" fillId="2" borderId="7" xfId="0" applyNumberFormat="1" applyFont="1" applyFill="1" applyBorder="1" applyAlignment="1" applyProtection="1">
      <alignment vertical="top"/>
      <protection locked="0"/>
    </xf>
    <xf numFmtId="4" fontId="29" fillId="2" borderId="10" xfId="0" applyNumberFormat="1" applyFont="1" applyFill="1" applyBorder="1" applyAlignment="1" applyProtection="1">
      <alignment vertical="top"/>
      <protection locked="0"/>
    </xf>
    <xf numFmtId="4" fontId="30" fillId="0" borderId="7" xfId="0" applyNumberFormat="1" applyFont="1" applyBorder="1" applyAlignment="1">
      <alignment vertical="top"/>
    </xf>
    <xf numFmtId="4" fontId="30" fillId="0" borderId="17" xfId="0" applyNumberFormat="1" applyFont="1" applyBorder="1" applyAlignment="1">
      <alignment vertical="top"/>
    </xf>
    <xf numFmtId="0" fontId="45" fillId="2" borderId="3" xfId="0" applyFont="1" applyFill="1" applyBorder="1" applyAlignment="1">
      <alignment vertical="center" wrapText="1"/>
    </xf>
    <xf numFmtId="0" fontId="35" fillId="0" borderId="4" xfId="0" applyFont="1" applyBorder="1" applyAlignment="1">
      <alignment vertical="top" wrapText="1"/>
    </xf>
    <xf numFmtId="0" fontId="46" fillId="2" borderId="10" xfId="0" applyFont="1" applyFill="1" applyBorder="1" applyAlignment="1">
      <alignment horizontal="right" vertical="center" wrapText="1"/>
    </xf>
    <xf numFmtId="4" fontId="29" fillId="2" borderId="17" xfId="0" applyNumberFormat="1" applyFont="1" applyFill="1" applyBorder="1" applyAlignment="1" applyProtection="1">
      <alignment vertical="top"/>
      <protection locked="0"/>
    </xf>
    <xf numFmtId="4" fontId="29" fillId="4" borderId="7" xfId="0" applyNumberFormat="1" applyFont="1" applyFill="1" applyBorder="1" applyAlignment="1">
      <alignment vertical="top"/>
    </xf>
    <xf numFmtId="0" fontId="34" fillId="0" borderId="0" xfId="0" applyFont="1" applyAlignment="1">
      <alignment horizontal="left" vertical="top" wrapText="1"/>
    </xf>
    <xf numFmtId="0" fontId="37" fillId="0" borderId="0" xfId="0" applyFont="1" applyAlignment="1">
      <alignment horizontal="left" vertical="top"/>
    </xf>
    <xf numFmtId="0" fontId="29" fillId="0" borderId="0" xfId="0" applyFont="1" applyAlignment="1">
      <alignment horizontal="left" vertical="top" wrapText="1"/>
    </xf>
    <xf numFmtId="0" fontId="25" fillId="0" borderId="0" xfId="0" applyFont="1" applyAlignment="1">
      <alignment horizontal="left" vertical="top"/>
    </xf>
    <xf numFmtId="0" fontId="0" fillId="0" borderId="0" xfId="0" applyAlignment="1">
      <alignment horizontal="left" vertical="top" wrapText="1"/>
    </xf>
    <xf numFmtId="0" fontId="36" fillId="0" borderId="0" xfId="1" applyFont="1" applyAlignment="1">
      <alignment horizontal="left" vertical="top"/>
    </xf>
    <xf numFmtId="0" fontId="27" fillId="0" borderId="0" xfId="0" applyFont="1" applyAlignment="1">
      <alignment horizontal="left" vertical="top"/>
    </xf>
    <xf numFmtId="4" fontId="30" fillId="0" borderId="3" xfId="1" applyNumberFormat="1" applyFont="1" applyBorder="1" applyAlignment="1">
      <alignment horizontal="center" vertical="center" wrapText="1"/>
    </xf>
    <xf numFmtId="3" fontId="40" fillId="0" borderId="3" xfId="0" applyNumberFormat="1" applyFont="1" applyBorder="1" applyAlignment="1">
      <alignment horizontal="center" vertical="center"/>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3" fontId="38" fillId="0" borderId="3" xfId="0" applyNumberFormat="1" applyFont="1" applyBorder="1" applyAlignment="1">
      <alignment horizontal="center" vertical="top"/>
    </xf>
    <xf numFmtId="4" fontId="40" fillId="0" borderId="3" xfId="0" applyNumberFormat="1" applyFont="1" applyBorder="1" applyAlignment="1">
      <alignment horizontal="left" vertical="top" wrapText="1"/>
    </xf>
    <xf numFmtId="3" fontId="40" fillId="0" borderId="3" xfId="4" applyNumberFormat="1" applyFont="1" applyBorder="1" applyAlignment="1">
      <alignment horizontal="righ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E94"/>
  <sheetViews>
    <sheetView workbookViewId="0">
      <selection activeCell="F1" sqref="F1:I1048576"/>
    </sheetView>
  </sheetViews>
  <sheetFormatPr defaultColWidth="9.109375" defaultRowHeight="13.8" x14ac:dyDescent="0.3"/>
  <cols>
    <col min="1" max="1" width="59.109375" style="107" customWidth="1"/>
    <col min="2" max="4" width="12.88671875" style="203" customWidth="1"/>
    <col min="5" max="5" width="13.88671875" style="37" customWidth="1"/>
    <col min="6" max="6" width="9.109375" style="246" customWidth="1"/>
    <col min="7" max="16384" width="9.109375" style="246"/>
  </cols>
  <sheetData>
    <row r="1" spans="1:5" s="31" customFormat="1" ht="14.4" customHeight="1" x14ac:dyDescent="0.3">
      <c r="A1" s="297" t="s">
        <v>0</v>
      </c>
      <c r="B1" s="29"/>
      <c r="C1" s="29"/>
      <c r="D1" s="29"/>
      <c r="E1" s="30"/>
    </row>
    <row r="2" spans="1:5" s="31" customFormat="1" x14ac:dyDescent="0.3">
      <c r="A2" s="32"/>
      <c r="B2" s="29"/>
      <c r="C2" s="29"/>
      <c r="D2" s="29"/>
      <c r="E2" s="30"/>
    </row>
    <row r="3" spans="1:5" s="31" customFormat="1" ht="43.5" customHeight="1" x14ac:dyDescent="0.3">
      <c r="A3" s="313" t="s">
        <v>1</v>
      </c>
      <c r="B3" s="314"/>
      <c r="C3" s="314"/>
      <c r="D3" s="314"/>
      <c r="E3" s="30"/>
    </row>
    <row r="4" spans="1:5" s="31" customFormat="1" x14ac:dyDescent="0.3">
      <c r="A4" s="186"/>
      <c r="B4" s="186"/>
      <c r="C4" s="186"/>
      <c r="D4" s="186"/>
      <c r="E4" s="30"/>
    </row>
    <row r="5" spans="1:5" x14ac:dyDescent="0.3">
      <c r="A5" s="248"/>
      <c r="B5" s="240">
        <v>2018</v>
      </c>
      <c r="C5" s="240">
        <v>2019</v>
      </c>
      <c r="D5" s="240" t="s">
        <v>2</v>
      </c>
    </row>
    <row r="6" spans="1:5" s="51" customFormat="1" x14ac:dyDescent="0.3">
      <c r="A6" s="248" t="s">
        <v>3</v>
      </c>
      <c r="B6" s="109"/>
      <c r="C6" s="109"/>
      <c r="D6" s="109"/>
      <c r="E6" s="36"/>
    </row>
    <row r="7" spans="1:5" x14ac:dyDescent="0.3">
      <c r="A7" s="33" t="s">
        <v>4</v>
      </c>
      <c r="B7" s="34"/>
      <c r="C7" s="34">
        <v>0</v>
      </c>
      <c r="D7" s="34"/>
    </row>
    <row r="8" spans="1:5" x14ac:dyDescent="0.3">
      <c r="A8" s="67" t="s">
        <v>5</v>
      </c>
      <c r="B8" s="67"/>
      <c r="C8" s="67"/>
      <c r="D8" s="67"/>
    </row>
    <row r="9" spans="1:5" x14ac:dyDescent="0.3">
      <c r="A9" s="33" t="s">
        <v>6</v>
      </c>
      <c r="B9" s="34">
        <f>404967-131729</f>
        <v>273238</v>
      </c>
      <c r="C9" s="34">
        <f>404967-199308</f>
        <v>205659</v>
      </c>
      <c r="D9" s="34">
        <v>0</v>
      </c>
    </row>
    <row r="10" spans="1:5" x14ac:dyDescent="0.3">
      <c r="A10" s="33" t="s">
        <v>7</v>
      </c>
      <c r="B10" s="34">
        <f>422314-105359</f>
        <v>316955</v>
      </c>
      <c r="C10" s="34">
        <f>760388-219475</f>
        <v>540913</v>
      </c>
      <c r="D10" s="34"/>
    </row>
    <row r="11" spans="1:5" x14ac:dyDescent="0.3">
      <c r="A11" s="33" t="s">
        <v>8</v>
      </c>
      <c r="B11" s="34">
        <f>70367-33265</f>
        <v>37102</v>
      </c>
      <c r="C11" s="34">
        <f>70367-47856</f>
        <v>22511</v>
      </c>
      <c r="D11" s="34"/>
    </row>
    <row r="12" spans="1:5" x14ac:dyDescent="0.3">
      <c r="A12" s="33" t="s">
        <v>9</v>
      </c>
      <c r="B12" s="275">
        <v>0</v>
      </c>
      <c r="C12" s="275">
        <v>0</v>
      </c>
      <c r="D12" s="34">
        <v>0</v>
      </c>
    </row>
    <row r="13" spans="1:5" x14ac:dyDescent="0.3">
      <c r="A13" s="273" t="s">
        <v>10</v>
      </c>
      <c r="B13" s="277">
        <v>9161</v>
      </c>
      <c r="C13" s="277">
        <v>9161</v>
      </c>
      <c r="D13" s="274">
        <v>0</v>
      </c>
    </row>
    <row r="14" spans="1:5" x14ac:dyDescent="0.3">
      <c r="A14" s="33" t="s">
        <v>11</v>
      </c>
      <c r="B14" s="276">
        <v>0</v>
      </c>
      <c r="C14" s="276">
        <v>0</v>
      </c>
      <c r="D14" s="34">
        <v>0</v>
      </c>
    </row>
    <row r="15" spans="1:5" x14ac:dyDescent="0.3">
      <c r="A15" s="33" t="s">
        <v>12</v>
      </c>
      <c r="B15" s="34">
        <v>0</v>
      </c>
      <c r="C15" s="34">
        <v>0</v>
      </c>
      <c r="D15" s="34">
        <v>0</v>
      </c>
    </row>
    <row r="16" spans="1:5" x14ac:dyDescent="0.3">
      <c r="A16" s="33" t="s">
        <v>13</v>
      </c>
      <c r="B16" s="39">
        <f>SUM(B9:B15)</f>
        <v>636456</v>
      </c>
      <c r="C16" s="39">
        <f>SUM(C9:C15)</f>
        <v>778244</v>
      </c>
      <c r="D16" s="39">
        <f>SUM(D9:D15)</f>
        <v>0</v>
      </c>
    </row>
    <row r="17" spans="1:5" x14ac:dyDescent="0.3">
      <c r="A17" s="33" t="s">
        <v>14</v>
      </c>
      <c r="B17" s="34">
        <v>0</v>
      </c>
      <c r="C17" s="34">
        <v>0</v>
      </c>
      <c r="D17" s="34">
        <v>0</v>
      </c>
    </row>
    <row r="18" spans="1:5" x14ac:dyDescent="0.3">
      <c r="A18" s="35" t="s">
        <v>15</v>
      </c>
      <c r="B18" s="182">
        <f>SUM(B7+B16+B17)</f>
        <v>636456</v>
      </c>
      <c r="C18" s="182">
        <f>SUM(C7+C16+C17)</f>
        <v>778244</v>
      </c>
      <c r="D18" s="182">
        <f>SUM(D7+D16+D17)</f>
        <v>0</v>
      </c>
    </row>
    <row r="19" spans="1:5" s="51" customFormat="1" x14ac:dyDescent="0.3">
      <c r="A19" s="35" t="s">
        <v>16</v>
      </c>
      <c r="B19" s="104"/>
      <c r="C19" s="104"/>
      <c r="D19" s="104"/>
      <c r="E19" s="36"/>
    </row>
    <row r="20" spans="1:5" x14ac:dyDescent="0.3">
      <c r="A20" s="33" t="s">
        <v>17</v>
      </c>
      <c r="B20" s="67"/>
      <c r="C20" s="67"/>
      <c r="D20" s="67"/>
    </row>
    <row r="21" spans="1:5" x14ac:dyDescent="0.3">
      <c r="A21" s="33" t="s">
        <v>18</v>
      </c>
      <c r="B21" s="34">
        <v>8072</v>
      </c>
      <c r="C21" s="34">
        <f>10527+6129</f>
        <v>16656</v>
      </c>
      <c r="D21" s="34"/>
    </row>
    <row r="22" spans="1:5" x14ac:dyDescent="0.3">
      <c r="A22" s="33" t="s">
        <v>19</v>
      </c>
      <c r="B22" s="34">
        <v>0</v>
      </c>
      <c r="C22" s="34">
        <v>0</v>
      </c>
      <c r="D22" s="34">
        <v>0</v>
      </c>
    </row>
    <row r="23" spans="1:5" x14ac:dyDescent="0.3">
      <c r="A23" s="33" t="s">
        <v>20</v>
      </c>
      <c r="B23" s="34">
        <v>57827</v>
      </c>
      <c r="C23" s="34">
        <v>70518</v>
      </c>
      <c r="D23" s="34">
        <v>0</v>
      </c>
    </row>
    <row r="24" spans="1:5" x14ac:dyDescent="0.3">
      <c r="A24" s="33" t="s">
        <v>21</v>
      </c>
      <c r="B24" s="34">
        <v>0</v>
      </c>
      <c r="C24" s="34">
        <v>0</v>
      </c>
      <c r="D24" s="34">
        <v>0</v>
      </c>
    </row>
    <row r="25" spans="1:5" s="51" customFormat="1" x14ac:dyDescent="0.3">
      <c r="A25" s="33" t="s">
        <v>22</v>
      </c>
      <c r="B25" s="283">
        <f>SUM(B21:B24)</f>
        <v>65899</v>
      </c>
      <c r="C25" s="283">
        <f>SUM(C21:C24)</f>
        <v>87174</v>
      </c>
      <c r="D25" s="39">
        <f>SUM(D21:D24)</f>
        <v>0</v>
      </c>
      <c r="E25" s="36"/>
    </row>
    <row r="26" spans="1:5" x14ac:dyDescent="0.3">
      <c r="A26" s="273" t="s">
        <v>23</v>
      </c>
      <c r="B26" s="277">
        <v>137951</v>
      </c>
      <c r="C26" s="277">
        <v>150831</v>
      </c>
      <c r="D26" s="274"/>
    </row>
    <row r="27" spans="1:5" x14ac:dyDescent="0.3">
      <c r="A27" s="33" t="s">
        <v>24</v>
      </c>
      <c r="B27" s="278">
        <v>0</v>
      </c>
      <c r="C27" s="278">
        <v>0</v>
      </c>
      <c r="D27" s="34">
        <v>0</v>
      </c>
    </row>
    <row r="28" spans="1:5" x14ac:dyDescent="0.3">
      <c r="A28" s="273" t="s">
        <v>25</v>
      </c>
      <c r="B28" s="277">
        <v>939911</v>
      </c>
      <c r="C28" s="277">
        <v>32762</v>
      </c>
      <c r="D28" s="274"/>
    </row>
    <row r="29" spans="1:5" s="51" customFormat="1" x14ac:dyDescent="0.3">
      <c r="A29" s="35" t="s">
        <v>26</v>
      </c>
      <c r="B29" s="279">
        <f>SUM(B26:B28)+B25</f>
        <v>1143761</v>
      </c>
      <c r="C29" s="279">
        <f>SUM(C26:C28)+C25</f>
        <v>270767</v>
      </c>
      <c r="D29" s="182">
        <f>SUM(D26:D28)+D25</f>
        <v>0</v>
      </c>
      <c r="E29" s="36"/>
    </row>
    <row r="30" spans="1:5" s="51" customFormat="1" x14ac:dyDescent="0.3">
      <c r="A30" s="35" t="s">
        <v>27</v>
      </c>
      <c r="B30" s="175">
        <f>B31+B32</f>
        <v>0</v>
      </c>
      <c r="C30" s="175">
        <f>C31+C32</f>
        <v>0</v>
      </c>
      <c r="D30" s="175">
        <f>D31+D32</f>
        <v>0</v>
      </c>
      <c r="E30" s="36"/>
    </row>
    <row r="31" spans="1:5" s="51" customFormat="1" x14ac:dyDescent="0.3">
      <c r="A31" s="33" t="s">
        <v>28</v>
      </c>
      <c r="B31" s="34"/>
      <c r="C31" s="34"/>
      <c r="D31" s="34"/>
      <c r="E31" s="36"/>
    </row>
    <row r="32" spans="1:5" s="51" customFormat="1" x14ac:dyDescent="0.3">
      <c r="A32" s="33" t="s">
        <v>29</v>
      </c>
      <c r="B32" s="34">
        <v>0</v>
      </c>
      <c r="C32" s="34">
        <v>0</v>
      </c>
      <c r="D32" s="34">
        <v>0</v>
      </c>
      <c r="E32" s="36"/>
    </row>
    <row r="33" spans="1:5" s="51" customFormat="1" x14ac:dyDescent="0.3">
      <c r="A33" s="104" t="s">
        <v>30</v>
      </c>
      <c r="B33" s="104"/>
      <c r="C33" s="104"/>
      <c r="D33" s="104"/>
      <c r="E33" s="36"/>
    </row>
    <row r="34" spans="1:5" ht="27.6" customHeight="1" x14ac:dyDescent="0.3">
      <c r="A34" s="33" t="s">
        <v>31</v>
      </c>
      <c r="B34" s="34">
        <v>0</v>
      </c>
      <c r="C34" s="34">
        <v>0</v>
      </c>
      <c r="D34" s="34">
        <v>0</v>
      </c>
    </row>
    <row r="35" spans="1:5" x14ac:dyDescent="0.3">
      <c r="A35" s="33" t="s">
        <v>32</v>
      </c>
      <c r="B35" s="34">
        <v>738576</v>
      </c>
      <c r="C35" s="280">
        <v>548359</v>
      </c>
      <c r="D35" s="34">
        <v>0</v>
      </c>
    </row>
    <row r="36" spans="1:5" x14ac:dyDescent="0.3">
      <c r="A36" s="33" t="s">
        <v>33</v>
      </c>
      <c r="B36" s="275">
        <v>0</v>
      </c>
      <c r="C36" s="275">
        <v>0</v>
      </c>
      <c r="D36" s="34">
        <v>0</v>
      </c>
    </row>
    <row r="37" spans="1:5" x14ac:dyDescent="0.3">
      <c r="A37" s="273" t="s">
        <v>34</v>
      </c>
      <c r="B37" s="277">
        <v>75256</v>
      </c>
      <c r="C37" s="277">
        <v>127965</v>
      </c>
      <c r="D37" s="274"/>
    </row>
    <row r="38" spans="1:5" x14ac:dyDescent="0.3">
      <c r="A38" s="33" t="s">
        <v>35</v>
      </c>
      <c r="B38" s="276">
        <v>0</v>
      </c>
      <c r="C38" s="276">
        <v>0</v>
      </c>
      <c r="D38" s="34">
        <v>0</v>
      </c>
    </row>
    <row r="39" spans="1:5" x14ac:dyDescent="0.3">
      <c r="A39" s="33" t="s">
        <v>36</v>
      </c>
      <c r="B39" s="34">
        <v>0</v>
      </c>
      <c r="C39" s="34">
        <v>0</v>
      </c>
      <c r="D39" s="34">
        <v>0</v>
      </c>
    </row>
    <row r="40" spans="1:5" ht="27.6" customHeight="1" x14ac:dyDescent="0.3">
      <c r="A40" s="33" t="s">
        <v>37</v>
      </c>
      <c r="B40" s="275">
        <v>0</v>
      </c>
      <c r="C40" s="275">
        <v>0</v>
      </c>
      <c r="D40" s="34">
        <v>0</v>
      </c>
    </row>
    <row r="41" spans="1:5" ht="27.6" customHeight="1" x14ac:dyDescent="0.3">
      <c r="A41" s="273" t="s">
        <v>38</v>
      </c>
      <c r="B41" s="277">
        <f>54806+77904</f>
        <v>132710</v>
      </c>
      <c r="C41" s="277">
        <f>45893+47249</f>
        <v>93142</v>
      </c>
      <c r="D41" s="274"/>
    </row>
    <row r="42" spans="1:5" x14ac:dyDescent="0.3">
      <c r="A42" s="35" t="s">
        <v>39</v>
      </c>
      <c r="B42" s="279">
        <f>SUM(B34:B41)</f>
        <v>946542</v>
      </c>
      <c r="C42" s="279">
        <f>SUM(C34:C41)</f>
        <v>769466</v>
      </c>
      <c r="D42" s="182">
        <f>SUM(D34:D41)</f>
        <v>0</v>
      </c>
    </row>
    <row r="43" spans="1:5" s="51" customFormat="1" x14ac:dyDescent="0.3">
      <c r="A43" s="35" t="s">
        <v>40</v>
      </c>
      <c r="B43" s="182">
        <f>B29+B31-B42-B58-B61-B64</f>
        <v>214052</v>
      </c>
      <c r="C43" s="182">
        <f>C29+C31-C42-C58-C61-C64</f>
        <v>-474466</v>
      </c>
      <c r="D43" s="182">
        <f>D29+D31-D42-D58-D61-D64</f>
        <v>0</v>
      </c>
      <c r="E43" s="36"/>
    </row>
    <row r="44" spans="1:5" s="51" customFormat="1" x14ac:dyDescent="0.3">
      <c r="A44" s="35" t="s">
        <v>41</v>
      </c>
      <c r="B44" s="38">
        <f>B18+B43+B32</f>
        <v>850508</v>
      </c>
      <c r="C44" s="38">
        <f>C18+C43+C32</f>
        <v>303778</v>
      </c>
      <c r="D44" s="38">
        <f>D18+D43+D32</f>
        <v>0</v>
      </c>
    </row>
    <row r="45" spans="1:5" x14ac:dyDescent="0.3">
      <c r="A45" s="104" t="s">
        <v>42</v>
      </c>
      <c r="B45" s="104"/>
      <c r="C45" s="104"/>
      <c r="D45" s="104"/>
    </row>
    <row r="46" spans="1:5" ht="27.6" customHeight="1" x14ac:dyDescent="0.3">
      <c r="A46" s="33" t="s">
        <v>43</v>
      </c>
      <c r="B46" s="34">
        <v>0</v>
      </c>
      <c r="C46" s="34">
        <v>0</v>
      </c>
      <c r="D46" s="34">
        <v>0</v>
      </c>
    </row>
    <row r="47" spans="1:5" x14ac:dyDescent="0.3">
      <c r="A47" s="33" t="s">
        <v>32</v>
      </c>
      <c r="B47" s="34">
        <v>0</v>
      </c>
      <c r="C47" s="34">
        <v>0</v>
      </c>
      <c r="D47" s="34">
        <v>0</v>
      </c>
    </row>
    <row r="48" spans="1:5" x14ac:dyDescent="0.3">
      <c r="A48" s="33" t="s">
        <v>33</v>
      </c>
      <c r="B48" s="34">
        <v>0</v>
      </c>
      <c r="C48" s="34">
        <v>0</v>
      </c>
      <c r="D48" s="34">
        <v>0</v>
      </c>
    </row>
    <row r="49" spans="1:5" x14ac:dyDescent="0.3">
      <c r="A49" s="33" t="s">
        <v>34</v>
      </c>
      <c r="B49" s="280">
        <v>3177</v>
      </c>
      <c r="C49" s="34">
        <v>0</v>
      </c>
      <c r="D49" s="34">
        <v>0</v>
      </c>
    </row>
    <row r="50" spans="1:5" x14ac:dyDescent="0.3">
      <c r="A50" s="33" t="s">
        <v>44</v>
      </c>
      <c r="B50" s="34">
        <v>0</v>
      </c>
      <c r="C50" s="34">
        <v>0</v>
      </c>
      <c r="D50" s="34">
        <v>0</v>
      </c>
    </row>
    <row r="51" spans="1:5" x14ac:dyDescent="0.3">
      <c r="A51" s="33" t="s">
        <v>45</v>
      </c>
      <c r="B51" s="34">
        <v>0</v>
      </c>
      <c r="C51" s="34">
        <v>0</v>
      </c>
      <c r="D51" s="34">
        <v>0</v>
      </c>
    </row>
    <row r="52" spans="1:5" ht="27.6" customHeight="1" x14ac:dyDescent="0.3">
      <c r="A52" s="33" t="s">
        <v>37</v>
      </c>
      <c r="B52" s="34">
        <v>0</v>
      </c>
      <c r="C52" s="34">
        <v>0</v>
      </c>
      <c r="D52" s="34">
        <v>0</v>
      </c>
    </row>
    <row r="53" spans="1:5" ht="27.6" customHeight="1" x14ac:dyDescent="0.3">
      <c r="A53" s="33" t="s">
        <v>46</v>
      </c>
      <c r="B53" s="34">
        <v>0</v>
      </c>
      <c r="C53" s="280">
        <v>235428</v>
      </c>
      <c r="D53" s="34"/>
    </row>
    <row r="54" spans="1:5" s="51" customFormat="1" x14ac:dyDescent="0.3">
      <c r="A54" s="35" t="s">
        <v>47</v>
      </c>
      <c r="B54" s="182">
        <f>SUM(B46:B53)</f>
        <v>3177</v>
      </c>
      <c r="C54" s="182">
        <f>SUM(C46:C53)</f>
        <v>235428</v>
      </c>
      <c r="D54" s="182">
        <f>SUM(D46:D53)</f>
        <v>0</v>
      </c>
      <c r="E54" s="36"/>
    </row>
    <row r="55" spans="1:5" s="51" customFormat="1" x14ac:dyDescent="0.3">
      <c r="A55" s="35" t="s">
        <v>48</v>
      </c>
      <c r="B55" s="34">
        <v>0</v>
      </c>
      <c r="C55" s="34">
        <v>0</v>
      </c>
      <c r="D55" s="34">
        <v>0</v>
      </c>
      <c r="E55" s="36"/>
    </row>
    <row r="56" spans="1:5" s="51" customFormat="1" x14ac:dyDescent="0.3">
      <c r="A56" s="35" t="s">
        <v>49</v>
      </c>
      <c r="B56" s="176">
        <f>B57+B60+B63+B66</f>
        <v>-16833</v>
      </c>
      <c r="C56" s="176">
        <f>C57+C60+C63+C66</f>
        <v>-24233</v>
      </c>
      <c r="D56" s="176">
        <f>D57+D60+D63+D66</f>
        <v>0</v>
      </c>
      <c r="E56" s="36"/>
    </row>
    <row r="57" spans="1:5" s="51" customFormat="1" x14ac:dyDescent="0.3">
      <c r="A57" s="33" t="s">
        <v>50</v>
      </c>
      <c r="B57" s="281">
        <f>B58+B59</f>
        <v>-16833</v>
      </c>
      <c r="C57" s="281">
        <f>C58+C59</f>
        <v>-24233</v>
      </c>
      <c r="D57" s="176">
        <f>D58+D59</f>
        <v>0</v>
      </c>
      <c r="E57" s="36"/>
    </row>
    <row r="58" spans="1:5" s="51" customFormat="1" x14ac:dyDescent="0.3">
      <c r="A58" s="273" t="s">
        <v>51</v>
      </c>
      <c r="B58" s="277">
        <v>-16833</v>
      </c>
      <c r="C58" s="277">
        <v>-24233</v>
      </c>
      <c r="D58" s="274">
        <v>0</v>
      </c>
      <c r="E58" s="36"/>
    </row>
    <row r="59" spans="1:5" s="51" customFormat="1" x14ac:dyDescent="0.3">
      <c r="A59" s="33" t="s">
        <v>52</v>
      </c>
      <c r="B59" s="276">
        <v>0</v>
      </c>
      <c r="C59" s="276">
        <v>0</v>
      </c>
      <c r="D59" s="34">
        <v>0</v>
      </c>
      <c r="E59" s="36"/>
    </row>
    <row r="60" spans="1:5" s="51" customFormat="1" x14ac:dyDescent="0.3">
      <c r="A60" s="33" t="s">
        <v>53</v>
      </c>
      <c r="B60" s="176">
        <f>B61+B62</f>
        <v>0</v>
      </c>
      <c r="C60" s="176">
        <f>C61+C62</f>
        <v>0</v>
      </c>
      <c r="D60" s="176">
        <f>D61+D62</f>
        <v>0</v>
      </c>
      <c r="E60" s="36"/>
    </row>
    <row r="61" spans="1:5" s="51" customFormat="1" x14ac:dyDescent="0.3">
      <c r="A61" s="33" t="s">
        <v>54</v>
      </c>
      <c r="B61" s="34">
        <v>0</v>
      </c>
      <c r="C61" s="34">
        <v>0</v>
      </c>
      <c r="D61" s="34">
        <v>0</v>
      </c>
      <c r="E61" s="36"/>
    </row>
    <row r="62" spans="1:5" s="51" customFormat="1" x14ac:dyDescent="0.3">
      <c r="A62" s="33" t="s">
        <v>55</v>
      </c>
      <c r="B62" s="34">
        <v>0</v>
      </c>
      <c r="C62" s="34">
        <v>0</v>
      </c>
      <c r="D62" s="34">
        <v>0</v>
      </c>
      <c r="E62" s="36"/>
    </row>
    <row r="63" spans="1:5" s="51" customFormat="1" x14ac:dyDescent="0.3">
      <c r="A63" s="35" t="s">
        <v>56</v>
      </c>
      <c r="B63" s="176">
        <f>B64+B65</f>
        <v>0</v>
      </c>
      <c r="C63" s="176">
        <f>C64+C65</f>
        <v>0</v>
      </c>
      <c r="D63" s="176">
        <f>D64+D65</f>
        <v>0</v>
      </c>
      <c r="E63" s="36"/>
    </row>
    <row r="64" spans="1:5" s="51" customFormat="1" x14ac:dyDescent="0.3">
      <c r="A64" s="33" t="s">
        <v>51</v>
      </c>
      <c r="B64" s="34">
        <v>0</v>
      </c>
      <c r="C64" s="34">
        <v>0</v>
      </c>
      <c r="D64" s="34">
        <v>0</v>
      </c>
      <c r="E64" s="36"/>
    </row>
    <row r="65" spans="1:5" s="51" customFormat="1" x14ac:dyDescent="0.3">
      <c r="A65" s="33" t="s">
        <v>52</v>
      </c>
      <c r="B65" s="34">
        <v>0</v>
      </c>
      <c r="C65" s="34">
        <v>0</v>
      </c>
      <c r="D65" s="34">
        <v>0</v>
      </c>
      <c r="E65" s="36"/>
    </row>
    <row r="66" spans="1:5" s="51" customFormat="1" x14ac:dyDescent="0.3">
      <c r="A66" s="33" t="s">
        <v>57</v>
      </c>
      <c r="B66" s="34">
        <v>0</v>
      </c>
      <c r="C66" s="34">
        <v>0</v>
      </c>
      <c r="D66" s="34">
        <v>0</v>
      </c>
      <c r="E66" s="36"/>
    </row>
    <row r="67" spans="1:5" s="51" customFormat="1" x14ac:dyDescent="0.3">
      <c r="A67" s="104" t="s">
        <v>58</v>
      </c>
      <c r="B67" s="104"/>
      <c r="C67" s="104"/>
      <c r="D67" s="104"/>
      <c r="E67" s="36"/>
    </row>
    <row r="68" spans="1:5" x14ac:dyDescent="0.3">
      <c r="A68" s="33" t="s">
        <v>59</v>
      </c>
      <c r="B68" s="283">
        <f>SUM(B69:B73)</f>
        <v>200</v>
      </c>
      <c r="C68" s="283">
        <f>SUM(C69:C73)</f>
        <v>200</v>
      </c>
      <c r="D68" s="39">
        <f>SUM(D69:D73)</f>
        <v>0</v>
      </c>
    </row>
    <row r="69" spans="1:5" x14ac:dyDescent="0.3">
      <c r="A69" s="282" t="s">
        <v>60</v>
      </c>
      <c r="B69" s="277">
        <v>200</v>
      </c>
      <c r="C69" s="277">
        <v>200</v>
      </c>
      <c r="D69" s="274"/>
    </row>
    <row r="70" spans="1:5" x14ac:dyDescent="0.3">
      <c r="A70" s="40" t="s">
        <v>61</v>
      </c>
      <c r="B70" s="276">
        <v>0</v>
      </c>
      <c r="C70" s="276">
        <v>0</v>
      </c>
      <c r="D70" s="34">
        <v>0</v>
      </c>
    </row>
    <row r="71" spans="1:5" x14ac:dyDescent="0.3">
      <c r="A71" s="40" t="s">
        <v>62</v>
      </c>
      <c r="B71" s="34">
        <v>0</v>
      </c>
      <c r="C71" s="34">
        <v>0</v>
      </c>
      <c r="D71" s="34">
        <v>0</v>
      </c>
    </row>
    <row r="72" spans="1:5" x14ac:dyDescent="0.3">
      <c r="A72" s="40" t="s">
        <v>63</v>
      </c>
      <c r="B72" s="34">
        <v>0</v>
      </c>
      <c r="C72" s="34">
        <v>0</v>
      </c>
      <c r="D72" s="34">
        <v>0</v>
      </c>
    </row>
    <row r="73" spans="1:5" x14ac:dyDescent="0.3">
      <c r="A73" s="40" t="s">
        <v>64</v>
      </c>
      <c r="B73" s="34">
        <v>0</v>
      </c>
      <c r="C73" s="34">
        <v>0</v>
      </c>
      <c r="D73" s="34">
        <v>0</v>
      </c>
    </row>
    <row r="74" spans="1:5" x14ac:dyDescent="0.3">
      <c r="A74" s="33" t="s">
        <v>65</v>
      </c>
      <c r="B74" s="34">
        <v>0</v>
      </c>
      <c r="C74" s="34">
        <v>0</v>
      </c>
      <c r="D74" s="34">
        <v>0</v>
      </c>
    </row>
    <row r="75" spans="1:5" x14ac:dyDescent="0.3">
      <c r="A75" s="33" t="s">
        <v>66</v>
      </c>
      <c r="B75" s="39">
        <f>B76-B77</f>
        <v>0</v>
      </c>
      <c r="C75" s="39">
        <f>C76-C77</f>
        <v>0</v>
      </c>
      <c r="D75" s="39">
        <f>D76-D77</f>
        <v>0</v>
      </c>
    </row>
    <row r="76" spans="1:5" x14ac:dyDescent="0.3">
      <c r="A76" s="33" t="s">
        <v>67</v>
      </c>
      <c r="B76" s="34">
        <v>0</v>
      </c>
      <c r="C76" s="34">
        <v>0</v>
      </c>
      <c r="D76" s="34">
        <v>0</v>
      </c>
    </row>
    <row r="77" spans="1:5" x14ac:dyDescent="0.3">
      <c r="A77" s="33" t="s">
        <v>68</v>
      </c>
      <c r="B77" s="275">
        <v>0</v>
      </c>
      <c r="C77" s="275">
        <v>0</v>
      </c>
      <c r="D77" s="34">
        <v>0</v>
      </c>
    </row>
    <row r="78" spans="1:5" x14ac:dyDescent="0.3">
      <c r="A78" s="273" t="s">
        <v>69</v>
      </c>
      <c r="B78" s="277">
        <v>40</v>
      </c>
      <c r="C78" s="277">
        <v>40</v>
      </c>
      <c r="D78" s="274"/>
    </row>
    <row r="79" spans="1:5" x14ac:dyDescent="0.3">
      <c r="A79" s="33" t="s">
        <v>70</v>
      </c>
      <c r="B79" s="276">
        <v>0</v>
      </c>
      <c r="C79" s="276">
        <v>0</v>
      </c>
      <c r="D79" s="34">
        <v>0</v>
      </c>
    </row>
    <row r="80" spans="1:5" x14ac:dyDescent="0.3">
      <c r="A80" s="33" t="s">
        <v>71</v>
      </c>
      <c r="B80" s="34">
        <v>0</v>
      </c>
      <c r="C80" s="34">
        <v>0</v>
      </c>
      <c r="D80" s="34">
        <v>0</v>
      </c>
    </row>
    <row r="81" spans="1:5" x14ac:dyDescent="0.3">
      <c r="A81" s="33" t="s">
        <v>72</v>
      </c>
      <c r="B81" s="34">
        <v>0</v>
      </c>
      <c r="C81" s="34">
        <v>0</v>
      </c>
      <c r="D81" s="34">
        <v>0</v>
      </c>
    </row>
    <row r="82" spans="1:5" ht="14.4" customHeight="1" thickBot="1" x14ac:dyDescent="0.35">
      <c r="A82" s="35" t="s">
        <v>73</v>
      </c>
      <c r="B82" s="39">
        <f>B83-B84</f>
        <v>355760</v>
      </c>
      <c r="C82" s="39">
        <f>C83-C84</f>
        <v>0</v>
      </c>
      <c r="D82" s="39">
        <f>D83-D84</f>
        <v>0</v>
      </c>
    </row>
    <row r="83" spans="1:5" ht="15" customHeight="1" thickBot="1" x14ac:dyDescent="0.35">
      <c r="A83" s="33" t="s">
        <v>67</v>
      </c>
      <c r="B83" s="272">
        <v>355760</v>
      </c>
      <c r="C83" s="284">
        <v>0</v>
      </c>
      <c r="D83" s="34"/>
    </row>
    <row r="84" spans="1:5" x14ac:dyDescent="0.3">
      <c r="A84" s="33" t="s">
        <v>68</v>
      </c>
      <c r="B84" s="34">
        <v>0</v>
      </c>
      <c r="C84" s="34"/>
      <c r="D84" s="34">
        <v>0</v>
      </c>
    </row>
    <row r="85" spans="1:5" x14ac:dyDescent="0.3">
      <c r="A85" s="35" t="s">
        <v>74</v>
      </c>
      <c r="B85" s="283">
        <f>B86-B87</f>
        <v>491331</v>
      </c>
      <c r="C85" s="283">
        <f>C86-C87</f>
        <v>68110</v>
      </c>
      <c r="D85" s="39">
        <f>D86-D87</f>
        <v>0</v>
      </c>
    </row>
    <row r="86" spans="1:5" x14ac:dyDescent="0.3">
      <c r="A86" s="273" t="s">
        <v>67</v>
      </c>
      <c r="B86" s="277">
        <v>491331</v>
      </c>
      <c r="C86" s="277">
        <v>68110</v>
      </c>
      <c r="D86" s="274"/>
    </row>
    <row r="87" spans="1:5" x14ac:dyDescent="0.3">
      <c r="A87" s="33" t="s">
        <v>68</v>
      </c>
      <c r="B87" s="276"/>
      <c r="C87" s="276">
        <v>0</v>
      </c>
      <c r="D87" s="34">
        <v>0</v>
      </c>
    </row>
    <row r="88" spans="1:5" x14ac:dyDescent="0.3">
      <c r="A88" s="33" t="s">
        <v>75</v>
      </c>
      <c r="B88" s="34">
        <v>0</v>
      </c>
      <c r="C88" s="34"/>
      <c r="D88" s="34"/>
    </row>
    <row r="89" spans="1:5" x14ac:dyDescent="0.3">
      <c r="A89" s="35" t="s">
        <v>76</v>
      </c>
      <c r="B89" s="182">
        <f>B68+B74+B75+B78-B79+B80-B81+B83-B84+B86-B87-B88</f>
        <v>847331</v>
      </c>
      <c r="C89" s="182">
        <f>C68+C74+C75+C78-C79+C80-C81+C83-C84+C86-C87-C88</f>
        <v>68350</v>
      </c>
      <c r="D89" s="182">
        <f>D68+D74+D75+D78-D79+D80-D81+D83-D84+D86-D87-D88</f>
        <v>0</v>
      </c>
    </row>
    <row r="90" spans="1:5" x14ac:dyDescent="0.3">
      <c r="A90" s="35" t="s">
        <v>77</v>
      </c>
      <c r="B90" s="41">
        <v>0</v>
      </c>
      <c r="C90" s="41">
        <v>0</v>
      </c>
      <c r="D90" s="41">
        <v>0</v>
      </c>
    </row>
    <row r="91" spans="1:5" x14ac:dyDescent="0.3">
      <c r="A91" s="35" t="s">
        <v>78</v>
      </c>
      <c r="B91" s="41">
        <v>0</v>
      </c>
      <c r="C91" s="41">
        <v>0</v>
      </c>
      <c r="D91" s="41">
        <v>0</v>
      </c>
    </row>
    <row r="92" spans="1:5" x14ac:dyDescent="0.3">
      <c r="A92" s="35" t="s">
        <v>79</v>
      </c>
      <c r="B92" s="182">
        <f>B18+B29+B30-B42-B54-B55-B56</f>
        <v>847331</v>
      </c>
      <c r="C92" s="182">
        <f>C18+C29+C30-C42-C54-C55-C56</f>
        <v>68350</v>
      </c>
      <c r="D92" s="182">
        <f>D18+D29+D30-D42-D54-D55-D56</f>
        <v>0</v>
      </c>
    </row>
    <row r="93" spans="1:5" s="51" customFormat="1" x14ac:dyDescent="0.3">
      <c r="A93" s="35" t="s">
        <v>80</v>
      </c>
      <c r="B93" s="182">
        <f>B18+B29+B30</f>
        <v>1780217</v>
      </c>
      <c r="C93" s="182">
        <f>C18+C29+C30</f>
        <v>1049011</v>
      </c>
      <c r="D93" s="182">
        <f>D18+D29+D30</f>
        <v>0</v>
      </c>
      <c r="E93" s="36"/>
    </row>
    <row r="94" spans="1:5" s="51" customFormat="1" x14ac:dyDescent="0.3">
      <c r="A94" s="35" t="s">
        <v>81</v>
      </c>
      <c r="B94" s="182">
        <f>B42+B54+B55+B56+B89</f>
        <v>1780217</v>
      </c>
      <c r="C94" s="182">
        <f>C42+C54+C55+C56+C89</f>
        <v>1049011</v>
      </c>
      <c r="D94" s="182">
        <f>D42+D54+D55+D56+D89</f>
        <v>0</v>
      </c>
      <c r="E94" s="36"/>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54" customWidth="1"/>
    <col min="2" max="2" width="9.109375" style="254" customWidth="1"/>
    <col min="3" max="16384" width="9.109375" style="254"/>
  </cols>
  <sheetData>
    <row r="2" spans="1:2" x14ac:dyDescent="0.3">
      <c r="A2" s="391" t="s">
        <v>490</v>
      </c>
      <c r="B2" s="253" t="s">
        <v>461</v>
      </c>
    </row>
    <row r="3" spans="1:2" x14ac:dyDescent="0.3">
      <c r="A3" s="352"/>
      <c r="B3" s="253"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19" workbookViewId="0">
      <selection activeCell="D133" sqref="D133"/>
    </sheetView>
  </sheetViews>
  <sheetFormatPr defaultColWidth="9.109375" defaultRowHeight="14.4" x14ac:dyDescent="0.3"/>
  <cols>
    <col min="1" max="1" width="6.109375" style="28" customWidth="1"/>
    <col min="2" max="2" width="45.88671875" style="244" customWidth="1"/>
    <col min="3" max="3" width="11.5546875" style="238" customWidth="1"/>
    <col min="4" max="12" width="10.109375" style="238"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6" t="s">
        <v>492</v>
      </c>
      <c r="B1" s="395"/>
      <c r="C1" s="370"/>
      <c r="D1" s="370"/>
      <c r="E1" s="370"/>
    </row>
    <row r="2" spans="1:12" ht="13.8" customHeight="1" x14ac:dyDescent="0.3"/>
    <row r="3" spans="1:12" ht="15" customHeight="1" x14ac:dyDescent="0.3">
      <c r="A3" s="396" t="s">
        <v>493</v>
      </c>
      <c r="B3" s="378"/>
      <c r="C3" s="378"/>
      <c r="D3" s="378"/>
      <c r="E3" s="378"/>
      <c r="F3" s="378"/>
      <c r="G3" s="378"/>
      <c r="H3" s="378"/>
      <c r="I3" s="378"/>
      <c r="J3" s="378"/>
      <c r="K3" s="378"/>
      <c r="L3" s="378"/>
    </row>
    <row r="4" spans="1:12" s="270" customFormat="1" ht="13.8" customHeight="1" x14ac:dyDescent="0.3">
      <c r="A4" s="397" t="s">
        <v>494</v>
      </c>
      <c r="B4" s="397" t="s">
        <v>495</v>
      </c>
      <c r="C4" s="399" t="s">
        <v>360</v>
      </c>
      <c r="D4" s="326"/>
      <c r="E4" s="326"/>
      <c r="F4" s="337"/>
    </row>
    <row r="5" spans="1:12" s="270" customFormat="1" ht="24" customHeight="1" x14ac:dyDescent="0.3">
      <c r="A5" s="348"/>
      <c r="B5" s="348"/>
      <c r="C5" s="269" t="s">
        <v>361</v>
      </c>
      <c r="D5" s="269" t="s">
        <v>362</v>
      </c>
      <c r="E5" s="269" t="s">
        <v>363</v>
      </c>
      <c r="F5" s="269" t="s">
        <v>364</v>
      </c>
    </row>
    <row r="6" spans="1:12" ht="14.4" customHeight="1" x14ac:dyDescent="0.3">
      <c r="A6" s="400" t="s">
        <v>421</v>
      </c>
      <c r="B6" s="326"/>
      <c r="C6" s="326"/>
      <c r="D6" s="326"/>
      <c r="E6" s="326"/>
      <c r="F6" s="337"/>
      <c r="G6" s="16"/>
      <c r="H6" s="16"/>
      <c r="I6" s="16"/>
      <c r="J6" s="16"/>
      <c r="K6" s="16"/>
      <c r="L6" s="16"/>
    </row>
    <row r="7" spans="1:12" x14ac:dyDescent="0.3">
      <c r="A7" s="367" t="s">
        <v>422</v>
      </c>
      <c r="B7" s="337"/>
      <c r="C7" s="127"/>
      <c r="D7" s="127"/>
      <c r="E7" s="127"/>
      <c r="F7" s="127"/>
      <c r="G7" s="16"/>
      <c r="H7" s="16"/>
      <c r="I7" s="16"/>
      <c r="J7" s="16"/>
      <c r="K7" s="16"/>
      <c r="L7" s="16"/>
    </row>
    <row r="8" spans="1:12" ht="24" customHeight="1" x14ac:dyDescent="0.3">
      <c r="A8" s="18">
        <v>1</v>
      </c>
      <c r="B8" s="8" t="s">
        <v>423</v>
      </c>
      <c r="C8" s="126">
        <v>0</v>
      </c>
      <c r="D8" s="126">
        <v>0</v>
      </c>
      <c r="E8" s="126">
        <v>0</v>
      </c>
      <c r="F8" s="126">
        <v>0</v>
      </c>
      <c r="G8" s="16"/>
      <c r="H8" s="16"/>
      <c r="I8" s="16"/>
      <c r="J8" s="16"/>
      <c r="K8" s="16"/>
      <c r="L8" s="16"/>
    </row>
    <row r="9" spans="1:12" x14ac:dyDescent="0.3">
      <c r="A9" s="5">
        <v>2</v>
      </c>
      <c r="B9" s="8" t="s">
        <v>496</v>
      </c>
      <c r="C9" s="163">
        <f>C10+C11</f>
        <v>0</v>
      </c>
      <c r="D9" s="163">
        <f>D10+D11</f>
        <v>0</v>
      </c>
      <c r="E9" s="163">
        <f>E10+E11</f>
        <v>0</v>
      </c>
      <c r="F9" s="163">
        <f>F10+F11</f>
        <v>0</v>
      </c>
      <c r="G9" s="16"/>
      <c r="H9" s="16"/>
      <c r="I9" s="16"/>
      <c r="J9" s="16"/>
      <c r="K9" s="16"/>
      <c r="L9" s="16"/>
    </row>
    <row r="10" spans="1:12" x14ac:dyDescent="0.3">
      <c r="A10" s="5" t="s">
        <v>497</v>
      </c>
      <c r="B10" s="8" t="s">
        <v>498</v>
      </c>
      <c r="C10" s="126">
        <v>0</v>
      </c>
      <c r="D10" s="126">
        <v>0</v>
      </c>
      <c r="E10" s="126">
        <v>0</v>
      </c>
      <c r="F10" s="126">
        <v>0</v>
      </c>
      <c r="G10" s="16"/>
      <c r="H10" s="16"/>
      <c r="I10" s="16"/>
      <c r="J10" s="16"/>
      <c r="K10" s="16"/>
      <c r="L10" s="16"/>
    </row>
    <row r="11" spans="1:12" ht="24" customHeight="1" x14ac:dyDescent="0.3">
      <c r="A11" s="5" t="s">
        <v>499</v>
      </c>
      <c r="B11" s="8" t="s">
        <v>500</v>
      </c>
      <c r="C11" s="126">
        <v>0</v>
      </c>
      <c r="D11" s="126">
        <v>0</v>
      </c>
      <c r="E11" s="126">
        <v>0</v>
      </c>
      <c r="F11" s="126">
        <v>0</v>
      </c>
      <c r="G11" s="16"/>
      <c r="H11" s="16"/>
      <c r="I11" s="16"/>
      <c r="J11" s="16"/>
      <c r="K11" s="16"/>
      <c r="L11" s="16"/>
    </row>
    <row r="12" spans="1:12" x14ac:dyDescent="0.3">
      <c r="A12" s="5">
        <v>3</v>
      </c>
      <c r="B12" s="8" t="s">
        <v>501</v>
      </c>
      <c r="C12" s="126">
        <v>0</v>
      </c>
      <c r="D12" s="126">
        <v>0</v>
      </c>
      <c r="E12" s="126">
        <v>0</v>
      </c>
      <c r="F12" s="126">
        <v>0</v>
      </c>
      <c r="G12" s="16"/>
      <c r="H12" s="16"/>
      <c r="I12" s="16"/>
      <c r="J12" s="16"/>
      <c r="K12" s="16"/>
      <c r="L12" s="16"/>
    </row>
    <row r="13" spans="1:12" x14ac:dyDescent="0.3">
      <c r="A13" s="5">
        <v>4</v>
      </c>
      <c r="B13" s="8" t="s">
        <v>425</v>
      </c>
      <c r="C13" s="126">
        <f>'2A-Buget_cerere'!C29</f>
        <v>202294.43999999997</v>
      </c>
      <c r="D13" s="126">
        <v>0</v>
      </c>
      <c r="E13" s="126">
        <v>0</v>
      </c>
      <c r="F13" s="126">
        <v>0</v>
      </c>
      <c r="G13" s="16"/>
      <c r="H13" s="16"/>
      <c r="I13" s="16"/>
      <c r="J13" s="16"/>
      <c r="K13" s="16"/>
      <c r="L13" s="16"/>
    </row>
    <row r="14" spans="1:12" x14ac:dyDescent="0.3">
      <c r="A14" s="398" t="s">
        <v>502</v>
      </c>
      <c r="B14" s="337"/>
      <c r="C14" s="164">
        <f>C8+C9+C12+C13</f>
        <v>202294.43999999997</v>
      </c>
      <c r="D14" s="164">
        <f>D8+D9+D12+D13</f>
        <v>0</v>
      </c>
      <c r="E14" s="164">
        <f>E8+E9+E12+E13</f>
        <v>0</v>
      </c>
      <c r="F14" s="164">
        <f>F8+F9+F12+F13</f>
        <v>0</v>
      </c>
      <c r="G14" s="16"/>
      <c r="H14" s="16"/>
      <c r="I14" s="16"/>
      <c r="J14" s="16"/>
      <c r="K14" s="16"/>
      <c r="L14" s="16"/>
    </row>
    <row r="15" spans="1:12" x14ac:dyDescent="0.3">
      <c r="A15" s="367" t="s">
        <v>427</v>
      </c>
      <c r="B15" s="337"/>
      <c r="C15" s="164"/>
      <c r="D15" s="164"/>
      <c r="E15" s="164"/>
      <c r="F15" s="164"/>
      <c r="G15" s="16"/>
      <c r="H15" s="16"/>
      <c r="I15" s="16"/>
      <c r="J15" s="16"/>
      <c r="K15" s="16"/>
      <c r="L15" s="16"/>
    </row>
    <row r="16" spans="1:12" x14ac:dyDescent="0.3">
      <c r="A16" s="5">
        <v>5</v>
      </c>
      <c r="B16" s="8" t="s">
        <v>503</v>
      </c>
      <c r="C16" s="163">
        <f>C17+C18</f>
        <v>0</v>
      </c>
      <c r="D16" s="163">
        <f>D17+D18</f>
        <v>0</v>
      </c>
      <c r="E16" s="163">
        <f>E17+E18</f>
        <v>0</v>
      </c>
      <c r="F16" s="163">
        <f>F17+F18</f>
        <v>0</v>
      </c>
      <c r="G16" s="16"/>
      <c r="H16" s="16"/>
      <c r="I16" s="16"/>
      <c r="J16" s="16"/>
      <c r="K16" s="16"/>
      <c r="L16" s="16"/>
    </row>
    <row r="17" spans="1:14" x14ac:dyDescent="0.3">
      <c r="A17" s="5">
        <v>5.0999999999999996</v>
      </c>
      <c r="B17" s="306" t="s">
        <v>504</v>
      </c>
      <c r="C17" s="126">
        <v>0</v>
      </c>
      <c r="D17" s="126">
        <v>0</v>
      </c>
      <c r="E17" s="126">
        <v>0</v>
      </c>
      <c r="F17" s="126">
        <v>0</v>
      </c>
      <c r="G17" s="16"/>
      <c r="H17" s="171"/>
      <c r="I17" s="171"/>
      <c r="J17" s="171"/>
      <c r="K17" s="171"/>
      <c r="L17" s="171"/>
      <c r="M17" s="171"/>
      <c r="N17" s="171"/>
    </row>
    <row r="18" spans="1:14" ht="24" customHeight="1" x14ac:dyDescent="0.3">
      <c r="A18" s="5">
        <v>5.2</v>
      </c>
      <c r="B18" s="306" t="s">
        <v>505</v>
      </c>
      <c r="C18" s="126">
        <v>0</v>
      </c>
      <c r="D18" s="126">
        <v>0</v>
      </c>
      <c r="E18" s="126">
        <v>0</v>
      </c>
      <c r="F18" s="126">
        <v>0</v>
      </c>
      <c r="G18" s="16"/>
      <c r="H18" s="16"/>
      <c r="I18" s="16"/>
      <c r="J18" s="16"/>
      <c r="K18" s="16"/>
      <c r="L18" s="16"/>
    </row>
    <row r="19" spans="1:14" x14ac:dyDescent="0.3">
      <c r="A19" s="5">
        <v>6</v>
      </c>
      <c r="B19" s="306" t="s">
        <v>506</v>
      </c>
      <c r="C19" s="126">
        <v>0</v>
      </c>
      <c r="D19" s="126">
        <v>0</v>
      </c>
      <c r="E19" s="126">
        <v>0</v>
      </c>
      <c r="F19" s="126">
        <v>0</v>
      </c>
      <c r="G19" s="16"/>
      <c r="H19" s="16"/>
      <c r="I19" s="16"/>
      <c r="J19" s="16"/>
      <c r="K19" s="16"/>
      <c r="L19" s="16"/>
    </row>
    <row r="20" spans="1:14" x14ac:dyDescent="0.3">
      <c r="A20" s="5">
        <v>7</v>
      </c>
      <c r="B20" s="8" t="s">
        <v>507</v>
      </c>
      <c r="C20" s="126">
        <f>'1B-ContPP'!C56 + 0.5*'1B-ContPP'!C56</f>
        <v>102165</v>
      </c>
      <c r="D20" s="126">
        <v>0</v>
      </c>
      <c r="E20" s="126">
        <v>0</v>
      </c>
      <c r="F20" s="126">
        <v>0</v>
      </c>
      <c r="G20" s="16"/>
      <c r="H20" s="16"/>
      <c r="I20" s="16"/>
      <c r="J20" s="16"/>
      <c r="K20" s="16"/>
      <c r="L20" s="16"/>
    </row>
    <row r="21" spans="1:14" s="19" customFormat="1" x14ac:dyDescent="0.3">
      <c r="A21" s="398" t="s">
        <v>508</v>
      </c>
      <c r="B21" s="337"/>
      <c r="C21" s="164">
        <f>C16+C20+C19</f>
        <v>102165</v>
      </c>
      <c r="D21" s="164">
        <f>D16+D20+D19</f>
        <v>0</v>
      </c>
      <c r="E21" s="164">
        <f>E16+E20+E19</f>
        <v>0</v>
      </c>
      <c r="F21" s="164">
        <f>F16+F20+F19</f>
        <v>0</v>
      </c>
    </row>
    <row r="22" spans="1:14" s="19" customFormat="1" x14ac:dyDescent="0.3">
      <c r="A22" s="398" t="s">
        <v>509</v>
      </c>
      <c r="B22" s="337"/>
      <c r="C22" s="164">
        <f>C14-C21</f>
        <v>100129.43999999997</v>
      </c>
      <c r="D22" s="164">
        <f>D14-D21</f>
        <v>0</v>
      </c>
      <c r="E22" s="164">
        <f>E14-E21</f>
        <v>0</v>
      </c>
      <c r="F22" s="164">
        <f>F14-F21</f>
        <v>0</v>
      </c>
    </row>
    <row r="23" spans="1:14" ht="14.4" customHeight="1" x14ac:dyDescent="0.3">
      <c r="A23" s="366" t="s">
        <v>510</v>
      </c>
      <c r="B23" s="326"/>
      <c r="C23" s="326"/>
      <c r="D23" s="326"/>
      <c r="E23" s="326"/>
      <c r="F23" s="337"/>
      <c r="G23" s="16"/>
      <c r="H23" s="16"/>
      <c r="I23" s="16"/>
      <c r="J23" s="16"/>
      <c r="K23" s="16"/>
      <c r="L23" s="16"/>
    </row>
    <row r="24" spans="1:14" x14ac:dyDescent="0.3">
      <c r="A24" s="367" t="s">
        <v>511</v>
      </c>
      <c r="B24" s="337"/>
      <c r="C24" s="127"/>
      <c r="D24" s="127"/>
      <c r="E24" s="127"/>
      <c r="F24" s="127"/>
      <c r="G24" s="16"/>
      <c r="H24" s="16"/>
      <c r="I24" s="16"/>
      <c r="J24" s="16"/>
      <c r="K24" s="16"/>
      <c r="L24" s="16"/>
    </row>
    <row r="25" spans="1:14" x14ac:dyDescent="0.3">
      <c r="A25" s="5">
        <v>8</v>
      </c>
      <c r="B25" s="8" t="s">
        <v>512</v>
      </c>
      <c r="C25" s="126">
        <v>0</v>
      </c>
      <c r="D25" s="126">
        <v>0</v>
      </c>
      <c r="E25" s="126">
        <v>0</v>
      </c>
      <c r="F25" s="126">
        <v>0</v>
      </c>
      <c r="G25" s="16"/>
      <c r="H25" s="16"/>
      <c r="I25" s="16"/>
      <c r="J25" s="16"/>
      <c r="K25" s="16"/>
      <c r="L25" s="16"/>
    </row>
    <row r="26" spans="1:14" x14ac:dyDescent="0.3">
      <c r="A26" s="398" t="s">
        <v>513</v>
      </c>
      <c r="B26" s="337"/>
      <c r="C26" s="127">
        <f>C25</f>
        <v>0</v>
      </c>
      <c r="D26" s="127">
        <f>D25</f>
        <v>0</v>
      </c>
      <c r="E26" s="127">
        <f>E25</f>
        <v>0</v>
      </c>
      <c r="F26" s="127">
        <f>F25</f>
        <v>0</v>
      </c>
      <c r="G26" s="16"/>
      <c r="H26" s="16"/>
      <c r="I26" s="16"/>
      <c r="J26" s="16"/>
      <c r="K26" s="16"/>
      <c r="L26" s="16"/>
    </row>
    <row r="27" spans="1:14" ht="27.75" customHeight="1" x14ac:dyDescent="0.3">
      <c r="A27" s="366" t="s">
        <v>514</v>
      </c>
      <c r="B27" s="337"/>
      <c r="C27" s="127"/>
      <c r="D27" s="127"/>
      <c r="E27" s="127"/>
      <c r="F27" s="127"/>
      <c r="G27" s="16"/>
      <c r="H27" s="16"/>
      <c r="I27" s="16"/>
      <c r="J27" s="16"/>
      <c r="K27" s="16"/>
      <c r="L27" s="16"/>
    </row>
    <row r="28" spans="1:14" x14ac:dyDescent="0.3">
      <c r="A28" s="5">
        <v>9</v>
      </c>
      <c r="B28" s="8" t="s">
        <v>433</v>
      </c>
      <c r="C28" s="126">
        <f>'2A-Buget_cerere'!C23</f>
        <v>434974.61</v>
      </c>
      <c r="D28" s="126">
        <v>0</v>
      </c>
      <c r="E28" s="126">
        <v>0</v>
      </c>
      <c r="F28" s="126">
        <v>0</v>
      </c>
      <c r="G28" s="16"/>
      <c r="H28" s="16"/>
      <c r="I28" s="16"/>
      <c r="J28" s="16"/>
      <c r="K28" s="16"/>
      <c r="L28" s="16"/>
    </row>
    <row r="29" spans="1:14" x14ac:dyDescent="0.3">
      <c r="A29" s="5">
        <v>10</v>
      </c>
      <c r="B29" s="8" t="s">
        <v>434</v>
      </c>
      <c r="C29" s="126">
        <v>0</v>
      </c>
      <c r="D29" s="126">
        <v>0</v>
      </c>
      <c r="E29" s="126">
        <v>0</v>
      </c>
      <c r="F29" s="126">
        <v>0</v>
      </c>
      <c r="G29" s="16"/>
      <c r="H29" s="16"/>
      <c r="I29" s="16"/>
      <c r="J29" s="16"/>
      <c r="K29" s="16"/>
      <c r="L29" s="16"/>
    </row>
    <row r="30" spans="1:14" x14ac:dyDescent="0.3">
      <c r="A30" s="5">
        <v>11</v>
      </c>
      <c r="B30" s="8" t="s">
        <v>515</v>
      </c>
      <c r="C30" s="126">
        <v>0</v>
      </c>
      <c r="D30" s="126">
        <v>0</v>
      </c>
      <c r="E30" s="126">
        <v>0</v>
      </c>
      <c r="F30" s="126">
        <v>0</v>
      </c>
      <c r="G30" s="16"/>
      <c r="H30" s="16"/>
      <c r="I30" s="16"/>
      <c r="J30" s="16"/>
      <c r="K30" s="16"/>
      <c r="L30" s="16"/>
    </row>
    <row r="31" spans="1:14" x14ac:dyDescent="0.3">
      <c r="A31" s="398" t="s">
        <v>516</v>
      </c>
      <c r="B31" s="337"/>
      <c r="C31" s="164">
        <f>SUM(C28:C30)</f>
        <v>434974.61</v>
      </c>
      <c r="D31" s="164">
        <f>SUM(D28:D30)</f>
        <v>0</v>
      </c>
      <c r="E31" s="164">
        <f>SUM(E28:E30)</f>
        <v>0</v>
      </c>
      <c r="F31" s="164">
        <f>SUM(F28:F30)</f>
        <v>0</v>
      </c>
      <c r="G31" s="16"/>
      <c r="H31" s="16"/>
      <c r="I31" s="16"/>
      <c r="J31" s="16"/>
      <c r="K31" s="16"/>
      <c r="L31" s="16"/>
    </row>
    <row r="32" spans="1:14" x14ac:dyDescent="0.3">
      <c r="A32" s="398" t="s">
        <v>517</v>
      </c>
      <c r="B32" s="337"/>
      <c r="C32" s="164">
        <f>C26-C31</f>
        <v>-434974.61</v>
      </c>
      <c r="D32" s="164">
        <f>D26-D31</f>
        <v>0</v>
      </c>
      <c r="E32" s="164">
        <f>E26-E31</f>
        <v>0</v>
      </c>
      <c r="F32" s="164">
        <f>F26-F31</f>
        <v>0</v>
      </c>
      <c r="G32" s="16"/>
      <c r="H32" s="16"/>
      <c r="I32" s="16"/>
      <c r="J32" s="16"/>
      <c r="K32" s="16"/>
      <c r="L32" s="16"/>
    </row>
    <row r="33" spans="1:12" x14ac:dyDescent="0.3">
      <c r="A33" s="398" t="s">
        <v>518</v>
      </c>
      <c r="B33" s="337"/>
      <c r="C33" s="164">
        <f>C32+C22</f>
        <v>-334845.17000000004</v>
      </c>
      <c r="D33" s="164">
        <f>D32+D22</f>
        <v>0</v>
      </c>
      <c r="E33" s="164">
        <f>E32+E22</f>
        <v>0</v>
      </c>
      <c r="F33" s="164">
        <f>F32+F22</f>
        <v>0</v>
      </c>
      <c r="G33" s="16"/>
      <c r="H33" s="16"/>
      <c r="I33" s="16"/>
      <c r="J33" s="16"/>
      <c r="K33" s="16"/>
      <c r="L33" s="16"/>
    </row>
    <row r="34" spans="1:12" ht="14.4" customHeight="1" x14ac:dyDescent="0.3">
      <c r="A34" s="366" t="s">
        <v>441</v>
      </c>
      <c r="B34" s="326"/>
      <c r="C34" s="326"/>
      <c r="D34" s="326"/>
      <c r="E34" s="326"/>
      <c r="F34" s="337"/>
      <c r="G34" s="16"/>
      <c r="H34" s="16"/>
      <c r="I34" s="16"/>
      <c r="J34" s="16"/>
      <c r="K34" s="16"/>
      <c r="L34" s="16"/>
    </row>
    <row r="35" spans="1:12" x14ac:dyDescent="0.3">
      <c r="A35" s="5"/>
      <c r="B35" s="311" t="s">
        <v>519</v>
      </c>
      <c r="C35" s="164"/>
      <c r="D35" s="164"/>
      <c r="E35" s="164"/>
      <c r="F35" s="164"/>
      <c r="G35" s="16"/>
      <c r="H35" s="16"/>
      <c r="I35" s="16"/>
      <c r="J35" s="16"/>
      <c r="K35" s="16"/>
      <c r="L35" s="16"/>
    </row>
    <row r="36" spans="1:12" x14ac:dyDescent="0.3">
      <c r="A36" s="22">
        <v>11</v>
      </c>
      <c r="B36" s="23" t="s">
        <v>520</v>
      </c>
      <c r="C36" s="128">
        <f>C37+C40+C43+C46+C49+C52</f>
        <v>4249432.9276000001</v>
      </c>
      <c r="D36" s="128">
        <f>D37+D40+D43+D46+D49+D52</f>
        <v>4381165.3483555997</v>
      </c>
      <c r="E36" s="128">
        <f>E37+E40+E43+E46+E49+E52</f>
        <v>4517157.3541668002</v>
      </c>
      <c r="F36" s="128">
        <f>F37+F40+F43+F46+F49+F52</f>
        <v>4602159.110601359</v>
      </c>
      <c r="G36" s="16"/>
      <c r="H36" s="16"/>
      <c r="I36" s="16"/>
      <c r="J36" s="16"/>
      <c r="K36" s="16"/>
      <c r="L36" s="16"/>
    </row>
    <row r="37" spans="1:12" x14ac:dyDescent="0.3">
      <c r="A37" s="22">
        <v>11.1</v>
      </c>
      <c r="B37" s="23" t="s">
        <v>367</v>
      </c>
      <c r="C37" s="227">
        <f>C38+C39</f>
        <v>0</v>
      </c>
      <c r="D37" s="227">
        <f>D38+D39</f>
        <v>0</v>
      </c>
      <c r="E37" s="227">
        <f>E38+E39</f>
        <v>0</v>
      </c>
      <c r="F37" s="227">
        <f>F38+F39</f>
        <v>0</v>
      </c>
      <c r="G37" s="16"/>
      <c r="H37" s="16"/>
      <c r="I37" s="16"/>
      <c r="J37" s="16"/>
      <c r="K37" s="16"/>
      <c r="L37" s="16"/>
    </row>
    <row r="38" spans="1:12" x14ac:dyDescent="0.3">
      <c r="A38" s="22"/>
      <c r="B38" s="228" t="s">
        <v>521</v>
      </c>
      <c r="C38" s="126">
        <f>'3A-Proiectii_fin_investitie'!D65/1.19</f>
        <v>0</v>
      </c>
      <c r="D38" s="126">
        <f>'3A-Proiectii_fin_investitie'!E65/1.19</f>
        <v>0</v>
      </c>
      <c r="E38" s="126">
        <f>'3A-Proiectii_fin_investitie'!F65/1.19</f>
        <v>0</v>
      </c>
      <c r="F38" s="126">
        <f>'3A-Proiectii_fin_investitie'!G65/1.19</f>
        <v>0</v>
      </c>
      <c r="G38" s="16"/>
      <c r="H38" s="16"/>
      <c r="I38" s="16"/>
      <c r="J38" s="16"/>
      <c r="K38" s="16"/>
      <c r="L38" s="16"/>
    </row>
    <row r="39" spans="1:12" x14ac:dyDescent="0.3">
      <c r="A39" s="22"/>
      <c r="B39" s="228" t="s">
        <v>522</v>
      </c>
      <c r="C39" s="126">
        <f>C38*0.19</f>
        <v>0</v>
      </c>
      <c r="D39" s="126">
        <f>D38*0.19</f>
        <v>0</v>
      </c>
      <c r="E39" s="126">
        <f>E38*0.19</f>
        <v>0</v>
      </c>
      <c r="F39" s="126">
        <f>F38*0.19</f>
        <v>0</v>
      </c>
      <c r="G39" s="16"/>
      <c r="H39" s="16"/>
      <c r="I39" s="16"/>
      <c r="J39" s="16"/>
      <c r="K39" s="16"/>
      <c r="L39" s="16"/>
    </row>
    <row r="40" spans="1:12" x14ac:dyDescent="0.3">
      <c r="A40" s="22" t="s">
        <v>523</v>
      </c>
      <c r="B40" s="23" t="s">
        <v>370</v>
      </c>
      <c r="C40" s="227">
        <f>C41+C42</f>
        <v>0</v>
      </c>
      <c r="D40" s="227">
        <f>D41+D42</f>
        <v>0</v>
      </c>
      <c r="E40" s="227">
        <f>E41+E42</f>
        <v>0</v>
      </c>
      <c r="F40" s="227">
        <f>F41+F42</f>
        <v>0</v>
      </c>
      <c r="G40" s="16"/>
      <c r="H40" s="16"/>
      <c r="I40" s="16"/>
      <c r="J40" s="16"/>
      <c r="K40" s="16"/>
      <c r="L40" s="16"/>
    </row>
    <row r="41" spans="1:12" x14ac:dyDescent="0.3">
      <c r="A41" s="22"/>
      <c r="B41" s="228" t="s">
        <v>524</v>
      </c>
      <c r="C41" s="126">
        <f>'3A-Proiectii_fin_investitie'!D68/1.19</f>
        <v>0</v>
      </c>
      <c r="D41" s="126">
        <f>'3A-Proiectii_fin_investitie'!E68/1.19</f>
        <v>0</v>
      </c>
      <c r="E41" s="126">
        <f>'3A-Proiectii_fin_investitie'!F68/1.19</f>
        <v>0</v>
      </c>
      <c r="F41" s="126">
        <f>'3A-Proiectii_fin_investitie'!G68/1.19</f>
        <v>0</v>
      </c>
      <c r="G41" s="16"/>
      <c r="H41" s="16"/>
      <c r="I41" s="16"/>
      <c r="J41" s="16"/>
      <c r="K41" s="16"/>
      <c r="L41" s="16"/>
    </row>
    <row r="42" spans="1:12" x14ac:dyDescent="0.3">
      <c r="A42" s="22"/>
      <c r="B42" s="228" t="s">
        <v>525</v>
      </c>
      <c r="C42" s="126">
        <f>C41*0.19</f>
        <v>0</v>
      </c>
      <c r="D42" s="126">
        <f>E41*0.19</f>
        <v>0</v>
      </c>
      <c r="E42" s="126">
        <f>D41*0.19</f>
        <v>0</v>
      </c>
      <c r="F42" s="126">
        <f>F41*0.19</f>
        <v>0</v>
      </c>
      <c r="G42" s="16"/>
      <c r="H42" s="16"/>
      <c r="I42" s="16"/>
      <c r="J42" s="16"/>
      <c r="K42" s="16"/>
      <c r="L42" s="16"/>
    </row>
    <row r="43" spans="1:12" x14ac:dyDescent="0.3">
      <c r="A43" s="22" t="s">
        <v>526</v>
      </c>
      <c r="B43" s="23" t="s">
        <v>373</v>
      </c>
      <c r="C43" s="227">
        <f>C44+C45</f>
        <v>4239198.9276000001</v>
      </c>
      <c r="D43" s="227">
        <f>D44+D45</f>
        <v>4370614.0943556</v>
      </c>
      <c r="E43" s="227">
        <f>E44+E45</f>
        <v>4506268.4600387998</v>
      </c>
      <c r="F43" s="227">
        <f>F44+F45</f>
        <v>4591052.4385907995</v>
      </c>
      <c r="G43" s="16"/>
      <c r="H43" s="16"/>
      <c r="I43" s="16"/>
      <c r="J43" s="16"/>
      <c r="K43" s="16"/>
      <c r="L43" s="16"/>
    </row>
    <row r="44" spans="1:12" x14ac:dyDescent="0.3">
      <c r="A44" s="22"/>
      <c r="B44" s="228" t="s">
        <v>527</v>
      </c>
      <c r="C44" s="126">
        <f>'3A-Proiectii_fin_investitie'!D73/1.19</f>
        <v>3562352.04</v>
      </c>
      <c r="D44" s="126">
        <f>'3A-Proiectii_fin_investitie'!E73/1.19</f>
        <v>3672784.9532400002</v>
      </c>
      <c r="E44" s="126">
        <f>'3A-Proiectii_fin_investitie'!F73/1.19</f>
        <v>3786780.2185200001</v>
      </c>
      <c r="F44" s="126">
        <f>'3A-Proiectii_fin_investitie'!G73/1.19</f>
        <v>3858027.2593199997</v>
      </c>
      <c r="G44" s="16"/>
      <c r="H44" s="16"/>
      <c r="I44" s="16"/>
      <c r="J44" s="16"/>
      <c r="K44" s="16"/>
      <c r="L44" s="16"/>
    </row>
    <row r="45" spans="1:12" x14ac:dyDescent="0.3">
      <c r="A45" s="22"/>
      <c r="B45" s="228" t="s">
        <v>528</v>
      </c>
      <c r="C45" s="126">
        <f>C44*0.19</f>
        <v>676846.88760000002</v>
      </c>
      <c r="D45" s="126">
        <f>D44*0.19</f>
        <v>697829.14111560001</v>
      </c>
      <c r="E45" s="126">
        <f>E44*0.19</f>
        <v>719488.24151880003</v>
      </c>
      <c r="F45" s="126">
        <f>F44*0.19</f>
        <v>733025.17927079997</v>
      </c>
      <c r="G45" s="16"/>
      <c r="H45" s="16"/>
      <c r="I45" s="16"/>
      <c r="J45" s="16"/>
      <c r="K45" s="16"/>
      <c r="L45" s="16"/>
    </row>
    <row r="46" spans="1:12" ht="24" customHeight="1" x14ac:dyDescent="0.3">
      <c r="A46" s="22" t="s">
        <v>529</v>
      </c>
      <c r="B46" s="23" t="s">
        <v>530</v>
      </c>
      <c r="C46" s="227">
        <f>C47+C48</f>
        <v>0</v>
      </c>
      <c r="D46" s="227">
        <f>D47+D48</f>
        <v>0</v>
      </c>
      <c r="E46" s="227">
        <f>E47+E48</f>
        <v>0</v>
      </c>
      <c r="F46" s="227">
        <f>F47+F48</f>
        <v>0</v>
      </c>
      <c r="G46" s="16"/>
      <c r="H46" s="16"/>
      <c r="I46" s="16"/>
      <c r="J46" s="16"/>
      <c r="K46" s="16"/>
      <c r="L46" s="16"/>
    </row>
    <row r="47" spans="1:12" ht="24" customHeight="1" x14ac:dyDescent="0.3">
      <c r="A47" s="22"/>
      <c r="B47" s="228" t="s">
        <v>531</v>
      </c>
      <c r="C47" s="126">
        <f>'1B-ContPP'!C11</f>
        <v>0</v>
      </c>
      <c r="D47" s="126">
        <v>0</v>
      </c>
      <c r="E47" s="126">
        <v>0</v>
      </c>
      <c r="F47" s="126">
        <v>0</v>
      </c>
      <c r="G47" s="16"/>
      <c r="H47" s="16"/>
      <c r="I47" s="16"/>
      <c r="J47" s="16"/>
      <c r="K47" s="16"/>
      <c r="L47" s="16"/>
    </row>
    <row r="48" spans="1:12" ht="24" customHeight="1" x14ac:dyDescent="0.3">
      <c r="A48" s="22"/>
      <c r="B48" s="228" t="s">
        <v>532</v>
      </c>
      <c r="C48" s="126">
        <f>C47*0.19</f>
        <v>0</v>
      </c>
      <c r="D48" s="126">
        <f>D47*0.19</f>
        <v>0</v>
      </c>
      <c r="E48" s="126">
        <f>E47*0.19</f>
        <v>0</v>
      </c>
      <c r="F48" s="126">
        <f>F47*0.19</f>
        <v>0</v>
      </c>
      <c r="G48" s="16"/>
      <c r="H48" s="16"/>
      <c r="I48" s="16"/>
      <c r="J48" s="16"/>
      <c r="K48" s="16"/>
      <c r="L48" s="16"/>
    </row>
    <row r="49" spans="1:12" x14ac:dyDescent="0.3">
      <c r="A49" s="22" t="s">
        <v>533</v>
      </c>
      <c r="B49" s="23" t="s">
        <v>534</v>
      </c>
      <c r="C49" s="227">
        <f>C50+C51</f>
        <v>0</v>
      </c>
      <c r="D49" s="227">
        <f>D50+D51</f>
        <v>0</v>
      </c>
      <c r="E49" s="227">
        <f>E50+E51</f>
        <v>0</v>
      </c>
      <c r="F49" s="227">
        <f>F50+F51</f>
        <v>0</v>
      </c>
      <c r="G49" s="16"/>
      <c r="H49" s="16"/>
      <c r="I49" s="16"/>
      <c r="J49" s="16"/>
      <c r="K49" s="16"/>
      <c r="L49" s="16"/>
    </row>
    <row r="50" spans="1:12" x14ac:dyDescent="0.3">
      <c r="A50" s="22"/>
      <c r="B50" s="228" t="s">
        <v>535</v>
      </c>
      <c r="C50" s="126">
        <v>0</v>
      </c>
      <c r="D50" s="126">
        <v>0</v>
      </c>
      <c r="E50" s="126">
        <v>0</v>
      </c>
      <c r="F50" s="126">
        <v>0</v>
      </c>
      <c r="G50" s="16"/>
      <c r="H50" s="16"/>
      <c r="I50" s="16"/>
      <c r="J50" s="16"/>
      <c r="K50" s="16"/>
      <c r="L50" s="16"/>
    </row>
    <row r="51" spans="1:12" x14ac:dyDescent="0.3">
      <c r="A51" s="22"/>
      <c r="B51" s="228" t="s">
        <v>536</v>
      </c>
      <c r="C51" s="126">
        <v>0</v>
      </c>
      <c r="D51" s="126">
        <v>0</v>
      </c>
      <c r="E51" s="126">
        <v>0</v>
      </c>
      <c r="F51" s="126">
        <v>0</v>
      </c>
      <c r="G51" s="16"/>
      <c r="H51" s="16"/>
      <c r="I51" s="16"/>
      <c r="J51" s="16"/>
      <c r="K51" s="16"/>
      <c r="L51" s="16"/>
    </row>
    <row r="52" spans="1:12" s="19" customFormat="1" x14ac:dyDescent="0.3">
      <c r="A52" s="20" t="s">
        <v>537</v>
      </c>
      <c r="B52" s="23" t="s">
        <v>90</v>
      </c>
      <c r="C52" s="165">
        <f>C53+C54</f>
        <v>10234</v>
      </c>
      <c r="D52" s="165">
        <f>D53+D54</f>
        <v>10551.254000000001</v>
      </c>
      <c r="E52" s="165">
        <f t="shared" ref="E52:F52" si="0">E53+E54</f>
        <v>10888.894128</v>
      </c>
      <c r="F52" s="165">
        <f t="shared" si="0"/>
        <v>11106.67201056</v>
      </c>
    </row>
    <row r="53" spans="1:12" x14ac:dyDescent="0.3">
      <c r="A53" s="5"/>
      <c r="B53" s="8" t="s">
        <v>538</v>
      </c>
      <c r="C53" s="126">
        <f>'1B-ContPP'!C12</f>
        <v>8600</v>
      </c>
      <c r="D53" s="126">
        <f>C53*0.031 +C53</f>
        <v>8866.6</v>
      </c>
      <c r="E53" s="126">
        <f>D53*0.032 +D53</f>
        <v>9150.3312000000005</v>
      </c>
      <c r="F53" s="126">
        <f>E53*0.02 +E53</f>
        <v>9333.3378240000002</v>
      </c>
      <c r="G53" s="16"/>
      <c r="H53" s="16"/>
      <c r="I53" s="16"/>
      <c r="J53" s="16"/>
      <c r="K53" s="16"/>
      <c r="L53" s="16"/>
    </row>
    <row r="54" spans="1:12" x14ac:dyDescent="0.3">
      <c r="A54" s="5"/>
      <c r="B54" s="8" t="s">
        <v>539</v>
      </c>
      <c r="C54" s="126">
        <f>C53*0.19</f>
        <v>1634</v>
      </c>
      <c r="D54" s="126">
        <f>D53*0.19</f>
        <v>1684.654</v>
      </c>
      <c r="E54" s="126">
        <f>E53*0.19</f>
        <v>1738.5629280000001</v>
      </c>
      <c r="F54" s="126">
        <f>F53*0.19</f>
        <v>1773.33418656</v>
      </c>
      <c r="G54" s="16"/>
      <c r="H54" s="16"/>
      <c r="I54" s="16"/>
      <c r="J54" s="16"/>
      <c r="K54" s="16"/>
      <c r="L54" s="16"/>
    </row>
    <row r="55" spans="1:12" x14ac:dyDescent="0.3">
      <c r="A55" s="5" t="s">
        <v>540</v>
      </c>
      <c r="B55" s="14" t="s">
        <v>110</v>
      </c>
      <c r="C55" s="128">
        <f>C56+C57+C58+C59</f>
        <v>9993</v>
      </c>
      <c r="D55" s="128">
        <f>D56+D57+D58+D59</f>
        <v>10959.300000000001</v>
      </c>
      <c r="E55" s="128">
        <f>E56+E57+E58+E59</f>
        <v>12055.230000000001</v>
      </c>
      <c r="F55" s="128">
        <f>F56+F57+F58+F59</f>
        <v>13260.753000000002</v>
      </c>
      <c r="G55" s="16"/>
      <c r="H55" s="16"/>
      <c r="I55" s="16"/>
      <c r="J55" s="16"/>
      <c r="K55" s="16"/>
      <c r="L55" s="16"/>
    </row>
    <row r="56" spans="1:12" x14ac:dyDescent="0.3">
      <c r="A56" s="5" t="s">
        <v>541</v>
      </c>
      <c r="B56" s="6" t="s">
        <v>106</v>
      </c>
      <c r="C56" s="126">
        <f>'1B-ContPP'!C28</f>
        <v>0</v>
      </c>
      <c r="D56" s="126">
        <v>0</v>
      </c>
      <c r="E56" s="126">
        <v>0</v>
      </c>
      <c r="F56" s="126">
        <v>0</v>
      </c>
      <c r="G56" s="16"/>
      <c r="H56" s="16"/>
      <c r="I56" s="16"/>
      <c r="J56" s="16"/>
      <c r="K56" s="16"/>
      <c r="L56" s="16"/>
    </row>
    <row r="57" spans="1:12" ht="24" customHeight="1" x14ac:dyDescent="0.3">
      <c r="A57" s="5" t="s">
        <v>542</v>
      </c>
      <c r="B57" s="6" t="s">
        <v>543</v>
      </c>
      <c r="C57" s="126">
        <f>'1B-ContPP'!C29</f>
        <v>30</v>
      </c>
      <c r="D57" s="126">
        <v>0</v>
      </c>
      <c r="E57" s="126">
        <v>0</v>
      </c>
      <c r="F57" s="126">
        <v>0</v>
      </c>
      <c r="G57" s="16"/>
      <c r="H57" s="16"/>
      <c r="I57" s="16"/>
      <c r="J57" s="16"/>
      <c r="K57" s="16"/>
      <c r="L57" s="16"/>
    </row>
    <row r="58" spans="1:12" x14ac:dyDescent="0.3">
      <c r="A58" s="5" t="s">
        <v>544</v>
      </c>
      <c r="B58" s="6" t="s">
        <v>545</v>
      </c>
      <c r="C58" s="126">
        <f>'1B-ContPP'!C32</f>
        <v>9963</v>
      </c>
      <c r="D58" s="126">
        <f t="shared" ref="D58:F59" si="1">C58*1.1</f>
        <v>10959.300000000001</v>
      </c>
      <c r="E58" s="126">
        <f t="shared" si="1"/>
        <v>12055.230000000001</v>
      </c>
      <c r="F58" s="126">
        <f t="shared" si="1"/>
        <v>13260.753000000002</v>
      </c>
      <c r="G58" s="16"/>
      <c r="H58" s="16"/>
      <c r="I58" s="16"/>
      <c r="J58" s="16"/>
      <c r="K58" s="16"/>
      <c r="L58" s="16"/>
    </row>
    <row r="59" spans="1:12" ht="36" customHeight="1" x14ac:dyDescent="0.3">
      <c r="A59" s="5" t="s">
        <v>546</v>
      </c>
      <c r="B59" s="6" t="s">
        <v>547</v>
      </c>
      <c r="C59" s="126">
        <f>'1B-ContPP'!D31*1.1</f>
        <v>0</v>
      </c>
      <c r="D59" s="126">
        <f t="shared" si="1"/>
        <v>0</v>
      </c>
      <c r="E59" s="126">
        <f t="shared" si="1"/>
        <v>0</v>
      </c>
      <c r="F59" s="126">
        <f t="shared" si="1"/>
        <v>0</v>
      </c>
      <c r="G59" s="16"/>
      <c r="H59" s="16"/>
      <c r="I59" s="16"/>
      <c r="J59" s="16"/>
      <c r="K59" s="16"/>
      <c r="L59" s="16"/>
    </row>
    <row r="60" spans="1:12" s="19" customFormat="1" x14ac:dyDescent="0.3">
      <c r="A60" s="398" t="s">
        <v>548</v>
      </c>
      <c r="B60" s="337"/>
      <c r="C60" s="164">
        <f>C55+C36</f>
        <v>4259425.9276000001</v>
      </c>
      <c r="D60" s="164">
        <f>D55+D36</f>
        <v>4392124.6483555995</v>
      </c>
      <c r="E60" s="164">
        <f>E55+E36</f>
        <v>4529212.5841668006</v>
      </c>
      <c r="F60" s="164">
        <f>F55+F36</f>
        <v>4615419.8636013586</v>
      </c>
    </row>
    <row r="61" spans="1:12" x14ac:dyDescent="0.3">
      <c r="A61" s="5"/>
      <c r="B61" s="311" t="s">
        <v>445</v>
      </c>
      <c r="C61" s="127"/>
      <c r="D61" s="127"/>
      <c r="E61" s="127"/>
      <c r="F61" s="127"/>
      <c r="G61" s="16"/>
      <c r="H61" s="16"/>
      <c r="I61" s="16"/>
      <c r="J61" s="16"/>
      <c r="K61" s="16"/>
      <c r="L61" s="16"/>
    </row>
    <row r="62" spans="1:12" x14ac:dyDescent="0.3">
      <c r="A62" s="5"/>
      <c r="B62" s="14" t="s">
        <v>549</v>
      </c>
      <c r="C62" s="164">
        <f>C63+C66+C69+C72+C75+C76+C77</f>
        <v>3615370.6905624997</v>
      </c>
      <c r="D62" s="164">
        <f>D63+D66+D69+D72+D75+D76+D77</f>
        <v>3547411.5605415748</v>
      </c>
      <c r="E62" s="164">
        <f>E63+E66+E69+E72+E75+E76+E77</f>
        <v>3568329.5722206505</v>
      </c>
      <c r="F62" s="164">
        <f>F63+F66+F69+F72+F75+F76+F77</f>
        <v>3589247.5838997252</v>
      </c>
      <c r="G62" s="16"/>
      <c r="H62" s="16"/>
      <c r="I62" s="16"/>
      <c r="J62" s="16"/>
      <c r="K62" s="16"/>
      <c r="L62" s="16"/>
    </row>
    <row r="63" spans="1:12" s="19" customFormat="1" x14ac:dyDescent="0.3">
      <c r="A63" s="20">
        <v>13</v>
      </c>
      <c r="B63" s="21" t="s">
        <v>379</v>
      </c>
      <c r="C63" s="165">
        <f>C64+C65</f>
        <v>222578.65910000002</v>
      </c>
      <c r="D63" s="165">
        <f>D64+D65</f>
        <v>223023.81641820003</v>
      </c>
      <c r="E63" s="165">
        <f>E64+E65</f>
        <v>223468.97373640002</v>
      </c>
      <c r="F63" s="165">
        <f>F64+F65</f>
        <v>223914.13105460006</v>
      </c>
    </row>
    <row r="64" spans="1:12" ht="24" customHeight="1" x14ac:dyDescent="0.3">
      <c r="A64" s="5"/>
      <c r="B64" s="6" t="s">
        <v>550</v>
      </c>
      <c r="C64" s="126">
        <f>'3A-Proiectii_fin_investitie'!D77/1.19</f>
        <v>187040.89</v>
      </c>
      <c r="D64" s="126">
        <f>'3A-Proiectii_fin_investitie'!E77/1.19</f>
        <v>187414.97178000002</v>
      </c>
      <c r="E64" s="126">
        <f>'3A-Proiectii_fin_investitie'!F77/1.19</f>
        <v>187789.05356000003</v>
      </c>
      <c r="F64" s="126">
        <f>'3A-Proiectii_fin_investitie'!G77/1.19</f>
        <v>188163.13534000004</v>
      </c>
      <c r="G64" s="16"/>
      <c r="H64" s="171"/>
      <c r="I64" s="171"/>
      <c r="J64" s="16"/>
      <c r="K64" s="16"/>
      <c r="L64" s="16"/>
    </row>
    <row r="65" spans="1:12" ht="24" customHeight="1" x14ac:dyDescent="0.3">
      <c r="A65" s="5"/>
      <c r="B65" s="6" t="s">
        <v>551</v>
      </c>
      <c r="C65" s="126">
        <f>C64*0.19</f>
        <v>35537.769100000005</v>
      </c>
      <c r="D65" s="126">
        <f>D64*0.19</f>
        <v>35608.844638200004</v>
      </c>
      <c r="E65" s="126">
        <f>E64*0.19</f>
        <v>35679.920176400003</v>
      </c>
      <c r="F65" s="126">
        <f>F64*0.19</f>
        <v>35750.995714600009</v>
      </c>
      <c r="G65" s="16"/>
      <c r="H65" s="16"/>
      <c r="I65" s="16"/>
      <c r="J65" s="16"/>
      <c r="K65" s="16"/>
      <c r="L65" s="16"/>
    </row>
    <row r="66" spans="1:12" s="19" customFormat="1" x14ac:dyDescent="0.3">
      <c r="A66" s="20">
        <v>14</v>
      </c>
      <c r="B66" s="21" t="s">
        <v>93</v>
      </c>
      <c r="C66" s="165">
        <f>C67+C68</f>
        <v>0</v>
      </c>
      <c r="D66" s="165">
        <f>D67+D68</f>
        <v>0</v>
      </c>
      <c r="E66" s="165">
        <f>E67+E68</f>
        <v>0</v>
      </c>
      <c r="F66" s="165">
        <f>F67+F68</f>
        <v>0</v>
      </c>
    </row>
    <row r="67" spans="1:12" x14ac:dyDescent="0.3">
      <c r="A67" s="5"/>
      <c r="B67" s="6" t="s">
        <v>552</v>
      </c>
      <c r="C67" s="126">
        <f>'3A-Proiectii_fin_investitie'!D85 / 1.19</f>
        <v>0</v>
      </c>
      <c r="D67" s="126">
        <f>'3A-Proiectii_fin_investitie'!E85 / 1.19</f>
        <v>0</v>
      </c>
      <c r="E67" s="126">
        <f>'3A-Proiectii_fin_investitie'!F85 / 1.19</f>
        <v>0</v>
      </c>
      <c r="F67" s="126">
        <f>'3A-Proiectii_fin_investitie'!G85 / 1.19</f>
        <v>0</v>
      </c>
      <c r="G67" s="16"/>
      <c r="H67" s="16"/>
      <c r="I67" s="16"/>
      <c r="J67" s="16"/>
      <c r="K67" s="16"/>
      <c r="L67" s="16"/>
    </row>
    <row r="68" spans="1:12" x14ac:dyDescent="0.3">
      <c r="A68" s="5"/>
      <c r="B68" s="6" t="s">
        <v>553</v>
      </c>
      <c r="C68" s="126">
        <f>C67*0.19</f>
        <v>0</v>
      </c>
      <c r="D68" s="126">
        <f>D67*0.19</f>
        <v>0</v>
      </c>
      <c r="E68" s="126">
        <f>E67*0.19</f>
        <v>0</v>
      </c>
      <c r="F68" s="126">
        <f>F67*0.19</f>
        <v>0</v>
      </c>
      <c r="G68" s="16"/>
      <c r="H68" s="16"/>
      <c r="I68" s="16"/>
      <c r="J68" s="16"/>
      <c r="K68" s="16"/>
      <c r="L68" s="16"/>
    </row>
    <row r="69" spans="1:12" s="19" customFormat="1" x14ac:dyDescent="0.3">
      <c r="A69" s="20">
        <v>15</v>
      </c>
      <c r="B69" s="21" t="s">
        <v>554</v>
      </c>
      <c r="C69" s="165">
        <f>C70+C71</f>
        <v>123591.37700000001</v>
      </c>
      <c r="D69" s="165">
        <f>D70+D71</f>
        <v>123838.55975399999</v>
      </c>
      <c r="E69" s="165">
        <f>E70+E71</f>
        <v>124085.74250799998</v>
      </c>
      <c r="F69" s="165">
        <f>F70+F71</f>
        <v>124332.92526199999</v>
      </c>
    </row>
    <row r="70" spans="1:12" x14ac:dyDescent="0.3">
      <c r="A70" s="5"/>
      <c r="B70" s="6" t="s">
        <v>555</v>
      </c>
      <c r="C70" s="126">
        <f>('3A-Proiectii_fin_investitie'!D86 +'3A-Proiectii_fin_investitie'!D89) /1.19</f>
        <v>103858.3</v>
      </c>
      <c r="D70" s="126">
        <f>('3A-Proiectii_fin_investitie'!E86 +'3A-Proiectii_fin_investitie'!E89) /1.19</f>
        <v>104066.01659999999</v>
      </c>
      <c r="E70" s="126">
        <f>('3A-Proiectii_fin_investitie'!F86 +'3A-Proiectii_fin_investitie'!F89) /1.19</f>
        <v>104273.73319999999</v>
      </c>
      <c r="F70" s="126">
        <f>('3A-Proiectii_fin_investitie'!G86 +'3A-Proiectii_fin_investitie'!G89) /1.19</f>
        <v>104481.44979999999</v>
      </c>
      <c r="G70" s="16"/>
      <c r="H70" s="16"/>
      <c r="I70" s="16"/>
      <c r="J70" s="16"/>
      <c r="K70" s="16"/>
      <c r="L70" s="16"/>
    </row>
    <row r="71" spans="1:12" x14ac:dyDescent="0.3">
      <c r="A71" s="5"/>
      <c r="B71" s="6" t="s">
        <v>556</v>
      </c>
      <c r="C71" s="126">
        <f>C70*0.19</f>
        <v>19733.077000000001</v>
      </c>
      <c r="D71" s="126">
        <f>D70*0.19</f>
        <v>19772.543153999999</v>
      </c>
      <c r="E71" s="126">
        <f>E70*0.19</f>
        <v>19812.009307999997</v>
      </c>
      <c r="F71" s="126">
        <f>F70*0.19</f>
        <v>19851.475461999999</v>
      </c>
      <c r="G71" s="16"/>
      <c r="H71" s="16"/>
      <c r="I71" s="16"/>
      <c r="J71" s="16"/>
      <c r="K71" s="16"/>
      <c r="L71" s="16"/>
    </row>
    <row r="72" spans="1:12" s="19" customFormat="1" x14ac:dyDescent="0.3">
      <c r="A72" s="20">
        <v>16</v>
      </c>
      <c r="B72" s="21" t="s">
        <v>384</v>
      </c>
      <c r="C72" s="165">
        <f>C73+C74</f>
        <v>1567073.6161499999</v>
      </c>
      <c r="D72" s="165">
        <f>D73+D74</f>
        <v>1574908.98423075</v>
      </c>
      <c r="E72" s="165">
        <f>E73+E74</f>
        <v>1582744.3523115003</v>
      </c>
      <c r="F72" s="165">
        <f>F73+F74</f>
        <v>1590579.7203922502</v>
      </c>
    </row>
    <row r="73" spans="1:12" x14ac:dyDescent="0.3">
      <c r="A73" s="5"/>
      <c r="B73" s="6" t="s">
        <v>557</v>
      </c>
      <c r="C73" s="126">
        <f>'3A-Proiectii_fin_investitie'!D82 /1.19</f>
        <v>1316868.585</v>
      </c>
      <c r="D73" s="126">
        <f>'3A-Proiectii_fin_investitie'!E82 /1.19</f>
        <v>1323452.927925</v>
      </c>
      <c r="E73" s="126">
        <f>'3A-Proiectii_fin_investitie'!F82 /1.19</f>
        <v>1330037.2708500002</v>
      </c>
      <c r="F73" s="126">
        <f>'3A-Proiectii_fin_investitie'!G82 /1.19</f>
        <v>1336621.6137750002</v>
      </c>
      <c r="G73" s="16"/>
      <c r="H73" s="16"/>
      <c r="I73" s="16"/>
      <c r="J73" s="16"/>
      <c r="K73" s="16"/>
      <c r="L73" s="16"/>
    </row>
    <row r="74" spans="1:12" x14ac:dyDescent="0.3">
      <c r="A74" s="5"/>
      <c r="B74" s="6" t="s">
        <v>558</v>
      </c>
      <c r="C74" s="126">
        <f>C73*0.19</f>
        <v>250205.03115</v>
      </c>
      <c r="D74" s="126">
        <f>D73*0.19</f>
        <v>251456.05630575001</v>
      </c>
      <c r="E74" s="126">
        <f>E73*0.19</f>
        <v>252707.08146150006</v>
      </c>
      <c r="F74" s="126">
        <f>F73*0.19</f>
        <v>253958.10661725004</v>
      </c>
      <c r="G74" s="16"/>
      <c r="H74" s="16"/>
      <c r="I74" s="16"/>
      <c r="J74" s="16"/>
      <c r="K74" s="16"/>
      <c r="L74" s="16"/>
    </row>
    <row r="75" spans="1:12" s="19" customFormat="1" x14ac:dyDescent="0.3">
      <c r="A75" s="20">
        <v>17</v>
      </c>
      <c r="B75" s="21" t="s">
        <v>559</v>
      </c>
      <c r="C75" s="126">
        <f>'3A-Proiectii_fin_investitie'!D101</f>
        <v>1120269.405</v>
      </c>
      <c r="D75" s="126">
        <f>'3A-Proiectii_fin_investitie'!E101</f>
        <v>1131472.0990499998</v>
      </c>
      <c r="E75" s="126">
        <f>'3A-Proiectii_fin_investitie'!F101</f>
        <v>1142674.7930999999</v>
      </c>
      <c r="F75" s="126">
        <f>'3A-Proiectii_fin_investitie'!G101</f>
        <v>1153877.4871499997</v>
      </c>
    </row>
    <row r="76" spans="1:12" s="19" customFormat="1" x14ac:dyDescent="0.3">
      <c r="A76" s="20">
        <v>18</v>
      </c>
      <c r="B76" s="21" t="s">
        <v>397</v>
      </c>
      <c r="C76" s="126">
        <f>C75*2.25/100</f>
        <v>25206.061612499998</v>
      </c>
      <c r="D76" s="126">
        <f>D75*2.25/100</f>
        <v>25458.122228624998</v>
      </c>
      <c r="E76" s="126">
        <f>E75*2.25/100</f>
        <v>25710.182844749997</v>
      </c>
      <c r="F76" s="126">
        <f>F75*2.25/100</f>
        <v>25962.243460874994</v>
      </c>
    </row>
    <row r="77" spans="1:12" s="19" customFormat="1" ht="24" customHeight="1" x14ac:dyDescent="0.3">
      <c r="A77" s="20">
        <v>19</v>
      </c>
      <c r="B77" s="21" t="s">
        <v>560</v>
      </c>
      <c r="C77" s="165">
        <f>C78+C79</f>
        <v>556651.57169999997</v>
      </c>
      <c r="D77" s="165">
        <f>D78+D79</f>
        <v>468709.97885999997</v>
      </c>
      <c r="E77" s="165">
        <f>E78+E79</f>
        <v>469645.52772000001</v>
      </c>
      <c r="F77" s="165">
        <f>F78+F79</f>
        <v>470581.07657999999</v>
      </c>
    </row>
    <row r="78" spans="1:12" x14ac:dyDescent="0.3">
      <c r="A78" s="5"/>
      <c r="B78" s="6" t="s">
        <v>561</v>
      </c>
      <c r="C78" s="126">
        <f>'3A-Proiectii_fin_investitie'!D102 /1.19</f>
        <v>467774.43</v>
      </c>
      <c r="D78" s="126">
        <f>'3A-Proiectii_fin_investitie'!E102 /1.19</f>
        <v>468709.97885999997</v>
      </c>
      <c r="E78" s="126">
        <f>'3A-Proiectii_fin_investitie'!F102 /1.19</f>
        <v>469645.52772000001</v>
      </c>
      <c r="F78" s="126">
        <f>'3A-Proiectii_fin_investitie'!G102 /1.19</f>
        <v>470581.07657999999</v>
      </c>
      <c r="G78" s="16"/>
      <c r="H78" s="16"/>
      <c r="I78" s="16"/>
      <c r="J78" s="16"/>
      <c r="K78" s="16"/>
      <c r="L78" s="16"/>
    </row>
    <row r="79" spans="1:12" x14ac:dyDescent="0.3">
      <c r="A79" s="5"/>
      <c r="B79" s="6" t="s">
        <v>562</v>
      </c>
      <c r="C79" s="126">
        <f>C78*0.19</f>
        <v>88877.141699999993</v>
      </c>
      <c r="D79" s="126">
        <v>0</v>
      </c>
      <c r="E79" s="126">
        <v>0</v>
      </c>
      <c r="F79" s="126">
        <v>0</v>
      </c>
      <c r="G79" s="16"/>
      <c r="H79" s="16"/>
      <c r="I79" s="16"/>
      <c r="J79" s="16"/>
      <c r="K79" s="16"/>
      <c r="L79" s="16"/>
    </row>
    <row r="80" spans="1:12" x14ac:dyDescent="0.3">
      <c r="A80" s="5"/>
      <c r="B80" s="311" t="s">
        <v>114</v>
      </c>
      <c r="C80" s="164">
        <f>C81+C85</f>
        <v>44015.8</v>
      </c>
      <c r="D80" s="164">
        <f>D81+D85</f>
        <v>44015.8</v>
      </c>
      <c r="E80" s="164">
        <f>E81+E85</f>
        <v>44455.958000000006</v>
      </c>
      <c r="F80" s="164">
        <f>F81+F85</f>
        <v>44896.116000000009</v>
      </c>
      <c r="G80" s="16"/>
      <c r="H80" s="16"/>
      <c r="I80" s="16"/>
      <c r="J80" s="16"/>
      <c r="K80" s="16"/>
      <c r="L80" s="16"/>
    </row>
    <row r="81" spans="1:12" x14ac:dyDescent="0.3">
      <c r="A81" s="5">
        <v>20</v>
      </c>
      <c r="B81" s="21" t="s">
        <v>563</v>
      </c>
      <c r="C81" s="164">
        <f>SUM(C82:C84)</f>
        <v>40193.800000000003</v>
      </c>
      <c r="D81" s="164">
        <f>SUM(D82:D84)</f>
        <v>40155.58</v>
      </c>
      <c r="E81" s="164">
        <f>SUM(E82:E84)</f>
        <v>40557.135800000004</v>
      </c>
      <c r="F81" s="164">
        <f>SUM(F82:F84)</f>
        <v>40958.305578000007</v>
      </c>
      <c r="G81" s="16"/>
      <c r="H81" s="16"/>
      <c r="I81" s="16"/>
      <c r="J81" s="16"/>
      <c r="K81" s="16"/>
      <c r="L81" s="16"/>
    </row>
    <row r="82" spans="1:12" x14ac:dyDescent="0.3">
      <c r="A82" s="5"/>
      <c r="B82" s="8" t="s">
        <v>564</v>
      </c>
      <c r="C82" s="126">
        <v>0</v>
      </c>
      <c r="D82" s="126">
        <v>0</v>
      </c>
      <c r="E82" s="126">
        <v>0</v>
      </c>
      <c r="F82" s="126">
        <v>0</v>
      </c>
      <c r="G82" s="16"/>
      <c r="H82" s="16"/>
      <c r="I82" s="16"/>
      <c r="J82" s="16"/>
      <c r="K82" s="16"/>
      <c r="L82" s="16"/>
    </row>
    <row r="83" spans="1:12" ht="24" customHeight="1" x14ac:dyDescent="0.3">
      <c r="A83" s="5"/>
      <c r="B83" s="8" t="s">
        <v>565</v>
      </c>
      <c r="C83" s="126">
        <f>'3A-Proiectii_fin_investitie'!D106 - C85</f>
        <v>40193.800000000003</v>
      </c>
      <c r="D83" s="126">
        <f>'3A-Proiectii_fin_investitie'!D106 - D85</f>
        <v>40155.58</v>
      </c>
      <c r="E83" s="126">
        <f>'3A-Proiectii_fin_investitie'!E106 - E85</f>
        <v>40557.135800000004</v>
      </c>
      <c r="F83" s="126">
        <f>'3A-Proiectii_fin_investitie'!F106 - F85</f>
        <v>40958.305578000007</v>
      </c>
      <c r="G83" s="16"/>
      <c r="H83" s="16"/>
      <c r="I83" s="16"/>
      <c r="J83" s="16"/>
      <c r="K83" s="16"/>
      <c r="L83" s="16"/>
    </row>
    <row r="84" spans="1:12" x14ac:dyDescent="0.3">
      <c r="A84" s="5"/>
      <c r="B84" s="8" t="s">
        <v>566</v>
      </c>
      <c r="C84" s="126">
        <v>0</v>
      </c>
      <c r="D84" s="126">
        <v>0</v>
      </c>
      <c r="E84" s="126">
        <v>0</v>
      </c>
      <c r="F84" s="126">
        <v>0</v>
      </c>
      <c r="G84" s="16"/>
      <c r="H84" s="16"/>
      <c r="I84" s="16"/>
      <c r="J84" s="16"/>
      <c r="K84" s="16"/>
      <c r="L84" s="16"/>
    </row>
    <row r="85" spans="1:12" s="19" customFormat="1" ht="36" customHeight="1" x14ac:dyDescent="0.3">
      <c r="A85" s="20">
        <v>21</v>
      </c>
      <c r="B85" s="21" t="s">
        <v>567</v>
      </c>
      <c r="C85" s="126">
        <f>'1B-ContPP'!C35</f>
        <v>3822</v>
      </c>
      <c r="D85" s="126">
        <f>C85*0.01 +C85</f>
        <v>3860.22</v>
      </c>
      <c r="E85" s="126">
        <f>D85*0.01 +D85</f>
        <v>3898.8221999999996</v>
      </c>
      <c r="F85" s="126">
        <f>E85*0.01 +E85</f>
        <v>3937.8104219999996</v>
      </c>
    </row>
    <row r="86" spans="1:12" x14ac:dyDescent="0.3">
      <c r="A86" s="398" t="s">
        <v>568</v>
      </c>
      <c r="B86" s="337"/>
      <c r="C86" s="164">
        <f>C62+C80</f>
        <v>3659386.4905624995</v>
      </c>
      <c r="D86" s="164">
        <f>D62+D80</f>
        <v>3591427.3605415747</v>
      </c>
      <c r="E86" s="164">
        <f>E62+E80</f>
        <v>3612785.5302206506</v>
      </c>
      <c r="F86" s="164">
        <f>F62+F80</f>
        <v>3634143.6998997252</v>
      </c>
      <c r="G86" s="16"/>
      <c r="H86" s="16"/>
      <c r="I86" s="16"/>
      <c r="J86" s="16"/>
      <c r="K86" s="16"/>
      <c r="L86" s="16"/>
    </row>
    <row r="87" spans="1:12" x14ac:dyDescent="0.3">
      <c r="A87" s="398" t="s">
        <v>569</v>
      </c>
      <c r="B87" s="337"/>
      <c r="C87" s="164">
        <f>C60-C86</f>
        <v>600039.43703750055</v>
      </c>
      <c r="D87" s="164">
        <f>D60-D86</f>
        <v>800697.28781402484</v>
      </c>
      <c r="E87" s="164">
        <f>E60-E86</f>
        <v>916427.05394615</v>
      </c>
      <c r="F87" s="164">
        <f>F60-F86</f>
        <v>981276.16370163346</v>
      </c>
      <c r="G87" s="16"/>
      <c r="H87" s="16"/>
      <c r="I87" s="16"/>
      <c r="J87" s="16"/>
      <c r="K87" s="16"/>
      <c r="L87" s="16"/>
    </row>
    <row r="88" spans="1:12" ht="25.5" customHeight="1" x14ac:dyDescent="0.3">
      <c r="A88" s="398" t="s">
        <v>570</v>
      </c>
      <c r="B88" s="337"/>
      <c r="C88" s="164">
        <f>C33+C87</f>
        <v>265194.26703750051</v>
      </c>
      <c r="D88" s="164">
        <f>D33+D87</f>
        <v>800697.28781402484</v>
      </c>
      <c r="E88" s="164">
        <f>E33+E87</f>
        <v>916427.05394615</v>
      </c>
      <c r="F88" s="164">
        <f>F33+F87</f>
        <v>981276.16370163346</v>
      </c>
      <c r="G88" s="16"/>
      <c r="H88" s="16"/>
      <c r="I88" s="16"/>
      <c r="J88" s="16"/>
      <c r="K88" s="16"/>
      <c r="L88" s="16"/>
    </row>
    <row r="89" spans="1:12" x14ac:dyDescent="0.3">
      <c r="A89" s="5">
        <v>22</v>
      </c>
      <c r="B89" s="8" t="s">
        <v>405</v>
      </c>
      <c r="C89" s="126">
        <f>C39 + C42 +C45 +C48 + C51+C54 - C28*19/119 - C65-C68-C71-C74-C79</f>
        <v>214678.14100294118</v>
      </c>
      <c r="D89" s="126">
        <f>D39 + D42 +D45  + D51+D54 + D48 - D28*19/119 - D65-D68-D71-D74-D79</f>
        <v>392676.35101764998</v>
      </c>
      <c r="E89" s="126">
        <f>E39 + E42 +E45  + E51+E54 + E48 - E28*19/119 - E65-E68-E71-E74-E79</f>
        <v>413027.79350090004</v>
      </c>
      <c r="F89" s="126">
        <f>F39 + F42 +F45  + F51+F54 + F48 - F28*19/119 - F65-F68-F71-F74-F79</f>
        <v>425237.93566351</v>
      </c>
      <c r="G89" s="16"/>
      <c r="H89" s="16"/>
      <c r="I89" s="16"/>
      <c r="J89" s="16"/>
      <c r="K89" s="16"/>
      <c r="L89" s="16"/>
    </row>
    <row r="90" spans="1:12" x14ac:dyDescent="0.3">
      <c r="A90" s="5">
        <v>23</v>
      </c>
      <c r="B90" s="8" t="s">
        <v>406</v>
      </c>
      <c r="C90" s="126">
        <v>0</v>
      </c>
      <c r="D90" s="126">
        <v>0</v>
      </c>
      <c r="E90" s="126">
        <v>0</v>
      </c>
      <c r="F90" s="126">
        <v>0</v>
      </c>
      <c r="G90" s="16"/>
      <c r="H90" s="16"/>
      <c r="I90" s="16"/>
      <c r="J90" s="16"/>
      <c r="K90" s="16"/>
      <c r="L90" s="16"/>
    </row>
    <row r="91" spans="1:12" x14ac:dyDescent="0.3">
      <c r="A91" s="5">
        <v>24</v>
      </c>
      <c r="B91" s="8" t="s">
        <v>571</v>
      </c>
      <c r="C91" s="126">
        <v>0</v>
      </c>
      <c r="D91" s="126">
        <v>0</v>
      </c>
      <c r="E91" s="126">
        <v>0</v>
      </c>
      <c r="F91" s="126">
        <v>0</v>
      </c>
      <c r="G91" s="16"/>
      <c r="H91" s="16"/>
      <c r="I91" s="16"/>
      <c r="J91" s="16"/>
      <c r="K91" s="16"/>
      <c r="L91" s="16"/>
    </row>
    <row r="92" spans="1:12" x14ac:dyDescent="0.3">
      <c r="A92" s="398" t="s">
        <v>572</v>
      </c>
      <c r="B92" s="337"/>
      <c r="C92" s="164">
        <f>C89-C90+C91</f>
        <v>214678.14100294118</v>
      </c>
      <c r="D92" s="164">
        <f>D89-D90+D91</f>
        <v>392676.35101764998</v>
      </c>
      <c r="E92" s="164">
        <f>E89-E90+E91</f>
        <v>413027.79350090004</v>
      </c>
      <c r="F92" s="164">
        <f>F89-F90+F91</f>
        <v>425237.93566351</v>
      </c>
      <c r="G92" s="16"/>
      <c r="H92" s="16"/>
      <c r="I92" s="16"/>
      <c r="J92" s="16"/>
      <c r="K92" s="16"/>
      <c r="L92" s="16"/>
    </row>
    <row r="93" spans="1:12" x14ac:dyDescent="0.3">
      <c r="A93" s="398" t="s">
        <v>518</v>
      </c>
      <c r="B93" s="337"/>
      <c r="C93" s="164">
        <f>C33</f>
        <v>-334845.17000000004</v>
      </c>
      <c r="D93" s="164">
        <f>D33</f>
        <v>0</v>
      </c>
      <c r="E93" s="164">
        <f>E33</f>
        <v>0</v>
      </c>
      <c r="F93" s="164">
        <f>F33</f>
        <v>0</v>
      </c>
      <c r="G93" s="16"/>
      <c r="H93" s="16"/>
      <c r="I93" s="16"/>
      <c r="J93" s="16"/>
      <c r="K93" s="16"/>
      <c r="L93" s="16"/>
    </row>
    <row r="94" spans="1:12" x14ac:dyDescent="0.3">
      <c r="A94" s="398" t="s">
        <v>573</v>
      </c>
      <c r="B94" s="337"/>
      <c r="C94" s="164">
        <f>C87-C92</f>
        <v>385361.29603455937</v>
      </c>
      <c r="D94" s="164">
        <f>D87-D92</f>
        <v>408020.93679637485</v>
      </c>
      <c r="E94" s="164">
        <f>E87-E92</f>
        <v>503399.26044524997</v>
      </c>
      <c r="F94" s="164">
        <f>F87-F92</f>
        <v>556038.22803812346</v>
      </c>
      <c r="G94" s="16"/>
      <c r="H94" s="16"/>
      <c r="I94" s="16"/>
      <c r="J94" s="16"/>
      <c r="K94" s="16"/>
      <c r="L94" s="16"/>
    </row>
    <row r="95" spans="1:12" ht="14.4" customHeight="1" x14ac:dyDescent="0.3">
      <c r="A95" s="366" t="s">
        <v>574</v>
      </c>
      <c r="B95" s="326"/>
      <c r="C95" s="326"/>
      <c r="D95" s="326"/>
      <c r="E95" s="326"/>
      <c r="F95" s="337"/>
      <c r="G95" s="16"/>
      <c r="H95" s="16"/>
      <c r="I95" s="16"/>
      <c r="J95" s="16"/>
      <c r="K95" s="16"/>
      <c r="L95" s="16"/>
    </row>
    <row r="96" spans="1:12" x14ac:dyDescent="0.3">
      <c r="A96" s="398" t="s">
        <v>575</v>
      </c>
      <c r="B96" s="337"/>
      <c r="C96" s="164">
        <f>C93+C94</f>
        <v>50516.126034559333</v>
      </c>
      <c r="D96" s="164">
        <f>D93+D94</f>
        <v>408020.93679637485</v>
      </c>
      <c r="E96" s="164">
        <f>E93+E94</f>
        <v>503399.26044524997</v>
      </c>
      <c r="F96" s="164">
        <f>F93+F94</f>
        <v>556038.22803812346</v>
      </c>
      <c r="G96" s="16"/>
      <c r="H96" s="16"/>
      <c r="I96" s="16"/>
      <c r="J96" s="16"/>
      <c r="K96" s="16"/>
      <c r="L96" s="16"/>
    </row>
    <row r="97" spans="1:12" x14ac:dyDescent="0.3">
      <c r="A97" s="398" t="s">
        <v>410</v>
      </c>
      <c r="B97" s="337"/>
      <c r="C97" s="164">
        <f>'1A-Bilant'!C28</f>
        <v>32762</v>
      </c>
      <c r="D97" s="164">
        <f>C98</f>
        <v>83278.126034559333</v>
      </c>
      <c r="E97" s="164">
        <f>D98</f>
        <v>491299.06283093418</v>
      </c>
      <c r="F97" s="164">
        <f>E98</f>
        <v>994698.32327618415</v>
      </c>
      <c r="G97" s="16"/>
      <c r="H97" s="16"/>
      <c r="I97" s="16"/>
      <c r="J97" s="16"/>
      <c r="K97" s="16"/>
      <c r="L97" s="16"/>
    </row>
    <row r="98" spans="1:12" x14ac:dyDescent="0.3">
      <c r="A98" s="398" t="s">
        <v>411</v>
      </c>
      <c r="B98" s="337"/>
      <c r="C98" s="164">
        <f>C97+C96</f>
        <v>83278.126034559333</v>
      </c>
      <c r="D98" s="164">
        <f>D97+D96</f>
        <v>491299.06283093418</v>
      </c>
      <c r="E98" s="164">
        <f>E97+E96</f>
        <v>994698.32327618415</v>
      </c>
      <c r="F98" s="164">
        <f>F97+F96</f>
        <v>1550736.5513143076</v>
      </c>
      <c r="G98" s="16"/>
      <c r="H98" s="16"/>
      <c r="I98" s="16"/>
      <c r="J98" s="16"/>
      <c r="K98" s="16"/>
      <c r="L98" s="16"/>
    </row>
    <row r="102" spans="1:12" x14ac:dyDescent="0.3">
      <c r="A102" s="401" t="s">
        <v>576</v>
      </c>
      <c r="B102" s="395"/>
      <c r="C102" s="370"/>
      <c r="D102" s="370"/>
      <c r="E102" s="370"/>
      <c r="F102" s="370"/>
      <c r="G102" s="370"/>
      <c r="H102" s="370"/>
      <c r="I102" s="370"/>
      <c r="J102" s="370"/>
      <c r="K102" s="370"/>
      <c r="L102" s="370"/>
    </row>
    <row r="103" spans="1:12" x14ac:dyDescent="0.3">
      <c r="A103" s="397" t="s">
        <v>494</v>
      </c>
      <c r="B103" s="397" t="s">
        <v>495</v>
      </c>
      <c r="C103" s="399" t="s">
        <v>360</v>
      </c>
      <c r="D103" s="326"/>
      <c r="E103" s="326"/>
      <c r="F103" s="337"/>
      <c r="G103" s="16"/>
      <c r="H103" s="16"/>
      <c r="I103" s="16"/>
      <c r="J103" s="16"/>
      <c r="K103" s="16"/>
      <c r="L103" s="16"/>
    </row>
    <row r="104" spans="1:12" ht="24" customHeight="1" x14ac:dyDescent="0.3">
      <c r="A104" s="348"/>
      <c r="B104" s="348"/>
      <c r="C104" s="15" t="s">
        <v>361</v>
      </c>
      <c r="D104" s="15" t="s">
        <v>362</v>
      </c>
      <c r="E104" s="15" t="s">
        <v>363</v>
      </c>
      <c r="F104" s="15" t="s">
        <v>364</v>
      </c>
      <c r="G104" s="16"/>
      <c r="H104" s="16"/>
      <c r="I104" s="16"/>
      <c r="J104" s="16"/>
      <c r="K104" s="16"/>
      <c r="L104" s="16"/>
    </row>
    <row r="105" spans="1:12" ht="14.4" customHeight="1" x14ac:dyDescent="0.3">
      <c r="A105" s="394" t="s">
        <v>577</v>
      </c>
      <c r="B105" s="326"/>
      <c r="C105" s="326"/>
      <c r="D105" s="326"/>
      <c r="E105" s="326"/>
      <c r="F105" s="337"/>
      <c r="G105" s="16"/>
      <c r="H105" s="16"/>
      <c r="I105" s="16"/>
      <c r="J105" s="16"/>
      <c r="K105" s="16"/>
      <c r="L105" s="16"/>
    </row>
    <row r="106" spans="1:12" x14ac:dyDescent="0.3">
      <c r="A106" s="4">
        <v>1</v>
      </c>
      <c r="B106" s="24" t="s">
        <v>578</v>
      </c>
      <c r="C106" s="166">
        <f>C38+C41+C44+C47+C50</f>
        <v>3562352.04</v>
      </c>
      <c r="D106" s="166">
        <f>D38+D41+D44+D47+D50</f>
        <v>3672784.9532400002</v>
      </c>
      <c r="E106" s="166">
        <f>E38+E41+E44+E47+E50</f>
        <v>3786780.2185200001</v>
      </c>
      <c r="F106" s="166">
        <f>F38+F41+F44+F47+F50</f>
        <v>3858027.2593199997</v>
      </c>
      <c r="G106" s="16"/>
      <c r="H106" s="16"/>
      <c r="I106" s="16"/>
      <c r="J106" s="16"/>
      <c r="K106" s="16"/>
      <c r="L106" s="16"/>
    </row>
    <row r="107" spans="1:12" ht="24" customHeight="1" x14ac:dyDescent="0.3">
      <c r="A107" s="4">
        <v>2</v>
      </c>
      <c r="B107" s="24" t="s">
        <v>85</v>
      </c>
      <c r="C107" s="260">
        <v>0</v>
      </c>
      <c r="D107" s="260">
        <v>0</v>
      </c>
      <c r="E107" s="260">
        <v>0</v>
      </c>
      <c r="F107" s="260">
        <v>0</v>
      </c>
      <c r="G107" s="16"/>
      <c r="H107" s="16"/>
      <c r="I107" s="16"/>
      <c r="J107" s="16"/>
      <c r="K107" s="16"/>
      <c r="L107" s="16"/>
    </row>
    <row r="108" spans="1:12" ht="24" customHeight="1" x14ac:dyDescent="0.3">
      <c r="A108" s="4">
        <v>3</v>
      </c>
      <c r="B108" s="24" t="s">
        <v>579</v>
      </c>
      <c r="C108" s="260">
        <v>0</v>
      </c>
      <c r="D108" s="260">
        <v>0</v>
      </c>
      <c r="E108" s="260">
        <v>0</v>
      </c>
      <c r="F108" s="260">
        <v>0</v>
      </c>
      <c r="G108" s="16"/>
      <c r="H108" s="16"/>
      <c r="I108" s="16"/>
      <c r="J108" s="16"/>
      <c r="K108" s="16"/>
      <c r="L108" s="16"/>
    </row>
    <row r="109" spans="1:12" ht="24" customHeight="1" x14ac:dyDescent="0.3">
      <c r="A109" s="4">
        <v>4</v>
      </c>
      <c r="B109" s="24" t="s">
        <v>580</v>
      </c>
      <c r="C109" s="260">
        <f>C53</f>
        <v>8600</v>
      </c>
      <c r="D109" s="260">
        <f>D53</f>
        <v>8866.6</v>
      </c>
      <c r="E109" s="260">
        <f>E53</f>
        <v>9150.3312000000005</v>
      </c>
      <c r="F109" s="260">
        <f>F53</f>
        <v>9333.3378240000002</v>
      </c>
      <c r="G109" s="16"/>
      <c r="H109" s="16"/>
      <c r="I109" s="16"/>
      <c r="J109" s="16"/>
      <c r="K109" s="16"/>
      <c r="L109" s="16"/>
    </row>
    <row r="110" spans="1:12" x14ac:dyDescent="0.3">
      <c r="A110" s="392" t="s">
        <v>581</v>
      </c>
      <c r="B110" s="337"/>
      <c r="C110" s="162">
        <f>SUM(C106:C109)</f>
        <v>3570952.04</v>
      </c>
      <c r="D110" s="162">
        <f>SUM(D106:D109)</f>
        <v>3681651.5532400003</v>
      </c>
      <c r="E110" s="162">
        <f>SUM(E106:E109)</f>
        <v>3795930.54972</v>
      </c>
      <c r="F110" s="162">
        <f>SUM(F106:F109)</f>
        <v>3867360.5971439998</v>
      </c>
      <c r="G110" s="16"/>
      <c r="H110" s="16"/>
      <c r="I110" s="16"/>
      <c r="J110" s="16"/>
      <c r="K110" s="16"/>
      <c r="L110" s="16"/>
    </row>
    <row r="111" spans="1:12" ht="14.4" customHeight="1" x14ac:dyDescent="0.3">
      <c r="A111" s="393" t="s">
        <v>582</v>
      </c>
      <c r="B111" s="326"/>
      <c r="C111" s="326"/>
      <c r="D111" s="326"/>
      <c r="E111" s="326"/>
      <c r="F111" s="337"/>
      <c r="G111" s="16"/>
      <c r="H111" s="16"/>
      <c r="I111" s="16"/>
      <c r="J111" s="16"/>
      <c r="K111" s="16"/>
      <c r="L111" s="16"/>
    </row>
    <row r="112" spans="1:12" x14ac:dyDescent="0.3">
      <c r="A112" s="4">
        <v>5</v>
      </c>
      <c r="B112" s="24" t="s">
        <v>583</v>
      </c>
      <c r="C112" s="167">
        <f>C64+C67+C73+C70</f>
        <v>1607767.7750000001</v>
      </c>
      <c r="D112" s="167">
        <f>D64+D67+D73+D70</f>
        <v>1614933.916305</v>
      </c>
      <c r="E112" s="167">
        <f>E64+E67+E73+E70</f>
        <v>1622100.0576100003</v>
      </c>
      <c r="F112" s="167">
        <f>F64+F67+F73+F70</f>
        <v>1629266.1989150003</v>
      </c>
      <c r="G112" s="16"/>
      <c r="H112" s="171"/>
      <c r="I112" s="16"/>
      <c r="J112" s="16"/>
      <c r="K112" s="16"/>
      <c r="L112" s="16"/>
    </row>
    <row r="113" spans="1:12" x14ac:dyDescent="0.3">
      <c r="A113" s="4">
        <v>6</v>
      </c>
      <c r="B113" s="24" t="s">
        <v>584</v>
      </c>
      <c r="C113" s="167">
        <f>C75+C76</f>
        <v>1145475.4666125001</v>
      </c>
      <c r="D113" s="167">
        <f>D75+D76</f>
        <v>1156930.2212786248</v>
      </c>
      <c r="E113" s="167">
        <f>E75+E76</f>
        <v>1168384.9759447498</v>
      </c>
      <c r="F113" s="167">
        <f>F75+F76</f>
        <v>1179839.7306108747</v>
      </c>
      <c r="G113" s="16"/>
      <c r="H113" s="16"/>
      <c r="I113" s="16"/>
      <c r="J113" s="16"/>
      <c r="K113" s="16"/>
      <c r="L113" s="16"/>
    </row>
    <row r="114" spans="1:12" x14ac:dyDescent="0.3">
      <c r="A114" s="4">
        <v>7</v>
      </c>
      <c r="B114" s="24" t="s">
        <v>585</v>
      </c>
      <c r="C114" s="170">
        <f>'1B-ContPP'!C20</f>
        <v>203787</v>
      </c>
      <c r="D114" s="170">
        <v>0</v>
      </c>
      <c r="E114" s="170">
        <v>0</v>
      </c>
      <c r="F114" s="170">
        <v>0</v>
      </c>
      <c r="G114" s="16"/>
      <c r="H114" s="16"/>
      <c r="I114" s="16"/>
      <c r="J114" s="16"/>
      <c r="K114" s="16"/>
      <c r="L114" s="16"/>
    </row>
    <row r="115" spans="1:12" ht="24" customHeight="1" x14ac:dyDescent="0.3">
      <c r="A115" s="4">
        <v>8</v>
      </c>
      <c r="B115" s="24" t="s">
        <v>560</v>
      </c>
      <c r="C115" s="167">
        <f>C78</f>
        <v>467774.43</v>
      </c>
      <c r="D115" s="167">
        <f>D78</f>
        <v>468709.97885999997</v>
      </c>
      <c r="E115" s="167">
        <f>E78</f>
        <v>469645.52772000001</v>
      </c>
      <c r="F115" s="167">
        <f>F78</f>
        <v>470581.07657999999</v>
      </c>
      <c r="G115" s="16"/>
      <c r="H115" s="16"/>
      <c r="I115" s="16"/>
      <c r="J115" s="16"/>
      <c r="K115" s="16"/>
      <c r="L115" s="16"/>
    </row>
    <row r="116" spans="1:12" x14ac:dyDescent="0.3">
      <c r="A116" s="392" t="s">
        <v>586</v>
      </c>
      <c r="B116" s="337"/>
      <c r="C116" s="312">
        <f>SUM(C112:C115)</f>
        <v>3424804.6716125007</v>
      </c>
      <c r="D116" s="312">
        <f>SUM(D112:D115)</f>
        <v>3240574.1164436247</v>
      </c>
      <c r="E116" s="312">
        <f>SUM(E112:E115)</f>
        <v>3260130.5612747502</v>
      </c>
      <c r="F116" s="312">
        <f>SUM(F112:F115)</f>
        <v>3279687.0061058751</v>
      </c>
      <c r="G116" s="16"/>
      <c r="H116" s="16"/>
      <c r="I116" s="16"/>
      <c r="J116" s="16"/>
      <c r="K116" s="16"/>
      <c r="L116" s="16"/>
    </row>
    <row r="117" spans="1:12" x14ac:dyDescent="0.3">
      <c r="A117" s="392" t="s">
        <v>103</v>
      </c>
      <c r="B117" s="337"/>
      <c r="C117" s="312">
        <f>C110-C116</f>
        <v>146147.36838749936</v>
      </c>
      <c r="D117" s="312">
        <f>D110-D116</f>
        <v>441077.43679637555</v>
      </c>
      <c r="E117" s="312">
        <f>E110-E116</f>
        <v>535799.98844524985</v>
      </c>
      <c r="F117" s="312">
        <f>F110-F116</f>
        <v>587673.59103812464</v>
      </c>
      <c r="G117" s="16"/>
      <c r="H117" s="16"/>
      <c r="I117" s="16"/>
      <c r="J117" s="16"/>
      <c r="K117" s="16"/>
      <c r="L117" s="16"/>
    </row>
    <row r="118" spans="1:12" ht="14.4" customHeight="1" x14ac:dyDescent="0.3">
      <c r="A118" s="393" t="s">
        <v>587</v>
      </c>
      <c r="B118" s="326"/>
      <c r="C118" s="326"/>
      <c r="D118" s="326"/>
      <c r="E118" s="326"/>
      <c r="F118" s="337"/>
      <c r="G118" s="16"/>
      <c r="H118" s="16"/>
      <c r="I118" s="16"/>
      <c r="J118" s="16"/>
      <c r="K118" s="16"/>
      <c r="L118" s="16"/>
    </row>
    <row r="119" spans="1:12" x14ac:dyDescent="0.3">
      <c r="A119" s="392" t="s">
        <v>588</v>
      </c>
      <c r="B119" s="337"/>
      <c r="C119" s="312">
        <f>C55</f>
        <v>9993</v>
      </c>
      <c r="D119" s="312">
        <f>D55</f>
        <v>10959.300000000001</v>
      </c>
      <c r="E119" s="312">
        <f>E55</f>
        <v>12055.230000000001</v>
      </c>
      <c r="F119" s="312">
        <f>F55</f>
        <v>13260.753000000002</v>
      </c>
      <c r="G119" s="16"/>
      <c r="H119" s="16"/>
      <c r="I119" s="16"/>
      <c r="J119" s="16"/>
      <c r="K119" s="16"/>
      <c r="L119" s="16"/>
    </row>
    <row r="120" spans="1:12" ht="14.4" customHeight="1" x14ac:dyDescent="0.3">
      <c r="A120" s="393" t="s">
        <v>589</v>
      </c>
      <c r="B120" s="326"/>
      <c r="C120" s="326"/>
      <c r="D120" s="326"/>
      <c r="E120" s="326"/>
      <c r="F120" s="337"/>
      <c r="G120" s="16"/>
      <c r="H120" s="16"/>
      <c r="I120" s="16"/>
      <c r="J120" s="16"/>
      <c r="K120" s="16"/>
      <c r="L120" s="16"/>
    </row>
    <row r="121" spans="1:12" x14ac:dyDescent="0.3">
      <c r="A121" s="4">
        <v>9</v>
      </c>
      <c r="B121" s="24" t="s">
        <v>563</v>
      </c>
      <c r="C121" s="167">
        <f>C122+C123+C124</f>
        <v>40193.800000000003</v>
      </c>
      <c r="D121" s="167">
        <f>D122+D123+D124</f>
        <v>40155.58</v>
      </c>
      <c r="E121" s="167">
        <f>E122+E123+E124</f>
        <v>40557.135800000004</v>
      </c>
      <c r="F121" s="167">
        <f>F122+F123+F124</f>
        <v>40958.305578000007</v>
      </c>
      <c r="G121" s="16"/>
      <c r="H121" s="16"/>
      <c r="I121" s="16"/>
      <c r="J121" s="16"/>
      <c r="K121" s="16"/>
      <c r="L121" s="16"/>
    </row>
    <row r="122" spans="1:12" x14ac:dyDescent="0.3">
      <c r="A122" s="4"/>
      <c r="B122" s="53" t="s">
        <v>564</v>
      </c>
      <c r="C122" s="168">
        <f t="shared" ref="C122:F125" si="2">C82</f>
        <v>0</v>
      </c>
      <c r="D122" s="168">
        <f t="shared" si="2"/>
        <v>0</v>
      </c>
      <c r="E122" s="168">
        <f t="shared" si="2"/>
        <v>0</v>
      </c>
      <c r="F122" s="168">
        <f t="shared" si="2"/>
        <v>0</v>
      </c>
      <c r="G122" s="16"/>
      <c r="H122" s="16"/>
      <c r="I122" s="16"/>
      <c r="J122" s="16"/>
      <c r="K122" s="16"/>
      <c r="L122" s="16"/>
    </row>
    <row r="123" spans="1:12" ht="24" customHeight="1" x14ac:dyDescent="0.3">
      <c r="A123" s="4"/>
      <c r="B123" s="53" t="s">
        <v>565</v>
      </c>
      <c r="C123" s="168">
        <f t="shared" si="2"/>
        <v>40193.800000000003</v>
      </c>
      <c r="D123" s="168">
        <f t="shared" si="2"/>
        <v>40155.58</v>
      </c>
      <c r="E123" s="168">
        <f t="shared" si="2"/>
        <v>40557.135800000004</v>
      </c>
      <c r="F123" s="168">
        <f t="shared" si="2"/>
        <v>40958.305578000007</v>
      </c>
      <c r="G123" s="16"/>
      <c r="H123" s="16"/>
      <c r="I123" s="16"/>
      <c r="J123" s="16"/>
      <c r="K123" s="16"/>
      <c r="L123" s="16"/>
    </row>
    <row r="124" spans="1:12" x14ac:dyDescent="0.3">
      <c r="A124" s="4"/>
      <c r="B124" s="53" t="s">
        <v>566</v>
      </c>
      <c r="C124" s="168">
        <f t="shared" si="2"/>
        <v>0</v>
      </c>
      <c r="D124" s="168">
        <f t="shared" si="2"/>
        <v>0</v>
      </c>
      <c r="E124" s="168">
        <f t="shared" si="2"/>
        <v>0</v>
      </c>
      <c r="F124" s="168">
        <f t="shared" si="2"/>
        <v>0</v>
      </c>
      <c r="G124" s="16"/>
      <c r="H124" s="16"/>
      <c r="I124" s="16"/>
      <c r="J124" s="16"/>
      <c r="K124" s="16"/>
      <c r="L124" s="16"/>
    </row>
    <row r="125" spans="1:12" x14ac:dyDescent="0.3">
      <c r="A125" s="4">
        <v>10</v>
      </c>
      <c r="B125" s="24" t="s">
        <v>590</v>
      </c>
      <c r="C125" s="168">
        <f t="shared" si="2"/>
        <v>3822</v>
      </c>
      <c r="D125" s="168">
        <f t="shared" si="2"/>
        <v>3860.22</v>
      </c>
      <c r="E125" s="168">
        <f t="shared" si="2"/>
        <v>3898.8221999999996</v>
      </c>
      <c r="F125" s="168">
        <f t="shared" si="2"/>
        <v>3937.8104219999996</v>
      </c>
      <c r="G125" s="16"/>
      <c r="H125" s="16"/>
      <c r="I125" s="16"/>
      <c r="J125" s="16"/>
      <c r="K125" s="16"/>
      <c r="L125" s="16"/>
    </row>
    <row r="126" spans="1:12" x14ac:dyDescent="0.3">
      <c r="A126" s="392" t="s">
        <v>591</v>
      </c>
      <c r="B126" s="337"/>
      <c r="C126" s="312">
        <f>C121+C125</f>
        <v>44015.8</v>
      </c>
      <c r="D126" s="312">
        <f>D121+D125</f>
        <v>44015.8</v>
      </c>
      <c r="E126" s="312">
        <f>E121+E125</f>
        <v>44455.958000000006</v>
      </c>
      <c r="F126" s="312">
        <f>F121+F125</f>
        <v>44896.116000000009</v>
      </c>
      <c r="G126" s="16"/>
      <c r="H126" s="16"/>
      <c r="I126" s="16"/>
      <c r="J126" s="16"/>
      <c r="K126" s="16"/>
      <c r="L126" s="16"/>
    </row>
    <row r="127" spans="1:12" x14ac:dyDescent="0.3">
      <c r="A127" s="392" t="s">
        <v>115</v>
      </c>
      <c r="B127" s="337"/>
      <c r="C127" s="312">
        <f>C119-C126</f>
        <v>-34022.800000000003</v>
      </c>
      <c r="D127" s="312">
        <f>D119-D126</f>
        <v>-33056.5</v>
      </c>
      <c r="E127" s="312">
        <f>E119-E126</f>
        <v>-32400.728000000003</v>
      </c>
      <c r="F127" s="312">
        <f>F119-F126</f>
        <v>-31635.363000000005</v>
      </c>
      <c r="G127" s="16"/>
      <c r="H127" s="16"/>
      <c r="I127" s="16"/>
      <c r="J127" s="16"/>
      <c r="K127" s="16"/>
      <c r="L127" s="16"/>
    </row>
    <row r="128" spans="1:12" x14ac:dyDescent="0.3">
      <c r="A128" s="25"/>
      <c r="B128" s="312" t="s">
        <v>592</v>
      </c>
      <c r="C128" s="312">
        <f>C117+C127</f>
        <v>112124.56838749936</v>
      </c>
      <c r="D128" s="312">
        <f>D117+D127</f>
        <v>408020.93679637555</v>
      </c>
      <c r="E128" s="312">
        <f>E117+E127</f>
        <v>503399.26044524985</v>
      </c>
      <c r="F128" s="312">
        <f>F117+F127</f>
        <v>556038.22803812462</v>
      </c>
      <c r="G128" s="16"/>
      <c r="H128" s="16"/>
      <c r="I128" s="16"/>
      <c r="J128" s="16"/>
      <c r="K128" s="16"/>
      <c r="L128" s="16"/>
    </row>
    <row r="129" spans="1:12" x14ac:dyDescent="0.3">
      <c r="A129" s="245"/>
      <c r="B129" s="26" t="s">
        <v>593</v>
      </c>
      <c r="C129" s="169">
        <f>C110+C119</f>
        <v>3580945.04</v>
      </c>
      <c r="D129" s="169">
        <f>D110+D119</f>
        <v>3692610.8532400001</v>
      </c>
      <c r="E129" s="169">
        <f>E110+E119</f>
        <v>3807985.77972</v>
      </c>
      <c r="F129" s="169">
        <f>F110+F119</f>
        <v>3880621.3501439998</v>
      </c>
      <c r="G129" s="16"/>
      <c r="H129" s="16"/>
      <c r="I129" s="16"/>
      <c r="J129" s="16"/>
      <c r="K129" s="16"/>
      <c r="L129" s="16"/>
    </row>
    <row r="130" spans="1:12" x14ac:dyDescent="0.3">
      <c r="A130" s="245"/>
      <c r="B130" s="27" t="s">
        <v>594</v>
      </c>
      <c r="C130" s="169">
        <f>C116+C126</f>
        <v>3468820.4716125005</v>
      </c>
      <c r="D130" s="169">
        <f>D116+D126</f>
        <v>3284589.9164436245</v>
      </c>
      <c r="E130" s="169">
        <f>E116+E126</f>
        <v>3304586.5192747503</v>
      </c>
      <c r="F130" s="169">
        <f>F116+F126</f>
        <v>3324583.1221058751</v>
      </c>
      <c r="G130" s="16"/>
      <c r="H130" s="16"/>
      <c r="I130" s="16"/>
      <c r="J130" s="16"/>
      <c r="K130" s="16"/>
      <c r="L130" s="16"/>
    </row>
    <row r="131" spans="1:12" x14ac:dyDescent="0.3">
      <c r="A131" s="392" t="s">
        <v>595</v>
      </c>
      <c r="B131" s="337"/>
      <c r="C131" s="312">
        <f>C129-C130</f>
        <v>112124.56838749954</v>
      </c>
      <c r="D131" s="312">
        <f>D129-D130</f>
        <v>408020.93679637555</v>
      </c>
      <c r="E131" s="312">
        <f>E129-E130</f>
        <v>503399.26044524973</v>
      </c>
      <c r="F131" s="312">
        <f>F129-F130</f>
        <v>556038.22803812474</v>
      </c>
      <c r="G131" s="16"/>
      <c r="H131" s="16"/>
      <c r="I131" s="16"/>
      <c r="J131" s="16"/>
      <c r="K131" s="16"/>
      <c r="L131" s="16"/>
    </row>
    <row r="132" spans="1:12" x14ac:dyDescent="0.3">
      <c r="A132" s="4">
        <v>13</v>
      </c>
      <c r="B132" s="24" t="s">
        <v>596</v>
      </c>
      <c r="C132" s="126">
        <f>C106*0.01</f>
        <v>35623.520400000001</v>
      </c>
      <c r="D132" s="126">
        <f>D106*0.01</f>
        <v>36727.849532400003</v>
      </c>
      <c r="E132" s="126">
        <f>E106*0.01</f>
        <v>37867.802185200002</v>
      </c>
      <c r="F132" s="126">
        <f>F106*0.01</f>
        <v>38580.272593199996</v>
      </c>
      <c r="G132" s="16"/>
      <c r="H132" s="16"/>
      <c r="I132" s="16"/>
      <c r="J132" s="16"/>
      <c r="K132" s="16"/>
      <c r="L132" s="16"/>
    </row>
    <row r="133" spans="1:12" x14ac:dyDescent="0.3">
      <c r="A133" s="392" t="s">
        <v>597</v>
      </c>
      <c r="B133" s="337"/>
      <c r="C133" s="312">
        <f>C131-C132</f>
        <v>76501.047987499536</v>
      </c>
      <c r="D133" s="312">
        <f>D131-D132</f>
        <v>371293.08726397553</v>
      </c>
      <c r="E133" s="312">
        <f>E131-E132</f>
        <v>465531.45826004975</v>
      </c>
      <c r="F133" s="312">
        <f>F131-F132</f>
        <v>517457.95544492477</v>
      </c>
      <c r="G133" s="16"/>
      <c r="H133" s="16"/>
      <c r="I133" s="16"/>
      <c r="J133" s="16"/>
      <c r="K133" s="16"/>
      <c r="L133" s="16"/>
    </row>
    <row r="134" spans="1:12" ht="24" customHeight="1" x14ac:dyDescent="0.3">
      <c r="B134" s="244"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58"/>
  <sheetViews>
    <sheetView topLeftCell="A15" workbookViewId="0">
      <selection activeCell="C20" sqref="C20"/>
    </sheetView>
  </sheetViews>
  <sheetFormatPr defaultColWidth="9.109375" defaultRowHeight="13.8" x14ac:dyDescent="0.3"/>
  <cols>
    <col min="1" max="1" width="64.5546875" style="107" customWidth="1"/>
    <col min="2" max="4" width="12.88671875" style="37" customWidth="1"/>
    <col min="5" max="5" width="9.109375" style="270" customWidth="1"/>
    <col min="6" max="16384" width="9.109375" style="270"/>
  </cols>
  <sheetData>
    <row r="1" spans="1:4" s="43" customFormat="1" ht="14.4" customHeight="1" x14ac:dyDescent="0.3">
      <c r="A1" s="297" t="s">
        <v>82</v>
      </c>
      <c r="B1" s="29"/>
      <c r="C1" s="29"/>
      <c r="D1" s="29"/>
    </row>
    <row r="2" spans="1:4" s="43" customFormat="1" x14ac:dyDescent="0.3">
      <c r="A2" s="32"/>
      <c r="B2" s="29"/>
      <c r="C2" s="29"/>
      <c r="D2" s="29"/>
    </row>
    <row r="3" spans="1:4" s="43" customFormat="1" ht="38.25" customHeight="1" x14ac:dyDescent="0.3">
      <c r="A3" s="313" t="s">
        <v>83</v>
      </c>
      <c r="B3" s="315"/>
      <c r="C3" s="315"/>
      <c r="D3" s="315"/>
    </row>
    <row r="4" spans="1:4" s="43" customFormat="1" x14ac:dyDescent="0.3">
      <c r="A4" s="186"/>
      <c r="B4" s="186"/>
      <c r="C4" s="186"/>
      <c r="D4" s="186"/>
    </row>
    <row r="5" spans="1:4" s="68" customFormat="1" x14ac:dyDescent="0.3">
      <c r="A5" s="248"/>
      <c r="B5" s="287">
        <f>'1A-Bilant'!B5</f>
        <v>2018</v>
      </c>
      <c r="C5" s="287">
        <f>'1A-Bilant'!C5</f>
        <v>2019</v>
      </c>
      <c r="D5" s="241" t="str">
        <f>'1A-Bilant'!D5</f>
        <v>AN</v>
      </c>
    </row>
    <row r="6" spans="1:4" x14ac:dyDescent="0.3">
      <c r="A6" s="285" t="s">
        <v>84</v>
      </c>
      <c r="B6" s="277">
        <v>3530610</v>
      </c>
      <c r="C6" s="277">
        <v>3492502</v>
      </c>
      <c r="D6" s="286"/>
    </row>
    <row r="7" spans="1:4" x14ac:dyDescent="0.3">
      <c r="A7" s="71" t="s">
        <v>85</v>
      </c>
      <c r="B7" s="288">
        <v>0</v>
      </c>
      <c r="C7" s="288">
        <v>0</v>
      </c>
      <c r="D7" s="44">
        <v>0</v>
      </c>
    </row>
    <row r="8" spans="1:4" x14ac:dyDescent="0.3">
      <c r="A8" s="71" t="s">
        <v>86</v>
      </c>
      <c r="B8" s="44">
        <v>0</v>
      </c>
      <c r="C8" s="44">
        <v>0</v>
      </c>
      <c r="D8" s="44">
        <v>0</v>
      </c>
    </row>
    <row r="9" spans="1:4" x14ac:dyDescent="0.3">
      <c r="A9" s="71" t="s">
        <v>87</v>
      </c>
      <c r="B9" s="44">
        <v>0</v>
      </c>
      <c r="C9" s="44">
        <v>0</v>
      </c>
      <c r="D9" s="44">
        <v>0</v>
      </c>
    </row>
    <row r="10" spans="1:4" x14ac:dyDescent="0.3">
      <c r="A10" s="71" t="s">
        <v>88</v>
      </c>
      <c r="B10" s="44">
        <v>0</v>
      </c>
      <c r="C10" s="44">
        <v>0</v>
      </c>
      <c r="D10" s="44">
        <v>0</v>
      </c>
    </row>
    <row r="11" spans="1:4" x14ac:dyDescent="0.3">
      <c r="A11" s="71" t="s">
        <v>89</v>
      </c>
      <c r="B11" s="289">
        <v>0</v>
      </c>
      <c r="C11" s="289">
        <v>0</v>
      </c>
      <c r="D11" s="44">
        <v>0</v>
      </c>
    </row>
    <row r="12" spans="1:4" x14ac:dyDescent="0.3">
      <c r="A12" s="285" t="s">
        <v>90</v>
      </c>
      <c r="B12" s="277">
        <v>18220</v>
      </c>
      <c r="C12" s="277">
        <v>8600</v>
      </c>
      <c r="D12" s="286">
        <v>0</v>
      </c>
    </row>
    <row r="13" spans="1:4" s="68" customFormat="1" x14ac:dyDescent="0.3">
      <c r="A13" s="248" t="s">
        <v>91</v>
      </c>
      <c r="B13" s="291">
        <f>SUM(B6:B12)</f>
        <v>3548830</v>
      </c>
      <c r="C13" s="291">
        <f>SUM(C6:C12)</f>
        <v>3501102</v>
      </c>
      <c r="D13" s="38">
        <f>SUM(D6:D12)</f>
        <v>0</v>
      </c>
    </row>
    <row r="14" spans="1:4" s="68" customFormat="1" x14ac:dyDescent="0.3">
      <c r="A14" s="285" t="s">
        <v>92</v>
      </c>
      <c r="B14" s="277">
        <v>198961</v>
      </c>
      <c r="C14" s="277">
        <v>162797</v>
      </c>
      <c r="D14" s="286"/>
    </row>
    <row r="15" spans="1:4" s="68" customFormat="1" x14ac:dyDescent="0.3">
      <c r="A15" s="285" t="s">
        <v>93</v>
      </c>
      <c r="B15" s="277">
        <v>33715</v>
      </c>
      <c r="C15" s="277">
        <v>22392</v>
      </c>
      <c r="D15" s="286"/>
    </row>
    <row r="16" spans="1:4" s="68" customFormat="1" x14ac:dyDescent="0.3">
      <c r="A16" s="285" t="s">
        <v>94</v>
      </c>
      <c r="B16" s="277">
        <v>70588</v>
      </c>
      <c r="C16" s="277">
        <v>102830</v>
      </c>
      <c r="D16" s="286">
        <v>0</v>
      </c>
    </row>
    <row r="17" spans="1:4" s="68" customFormat="1" x14ac:dyDescent="0.3">
      <c r="A17" s="285" t="s">
        <v>95</v>
      </c>
      <c r="B17" s="277">
        <v>1308964</v>
      </c>
      <c r="C17" s="277">
        <v>1310317</v>
      </c>
      <c r="D17" s="286">
        <v>0</v>
      </c>
    </row>
    <row r="18" spans="1:4" s="68" customFormat="1" ht="14.4" customHeight="1" x14ac:dyDescent="0.3">
      <c r="A18" s="285" t="s">
        <v>96</v>
      </c>
      <c r="B18" s="292"/>
      <c r="C18" s="277">
        <v>-3537</v>
      </c>
      <c r="D18" s="286">
        <v>0</v>
      </c>
    </row>
    <row r="19" spans="1:4" s="68" customFormat="1" x14ac:dyDescent="0.3">
      <c r="A19" s="293" t="s">
        <v>97</v>
      </c>
      <c r="B19" s="294">
        <v>834328</v>
      </c>
      <c r="C19" s="294">
        <v>1095618</v>
      </c>
      <c r="D19" s="286"/>
    </row>
    <row r="20" spans="1:4" s="68" customFormat="1" x14ac:dyDescent="0.3">
      <c r="A20" s="285" t="s">
        <v>98</v>
      </c>
      <c r="B20" s="277">
        <v>147287</v>
      </c>
      <c r="C20" s="277">
        <v>203787</v>
      </c>
      <c r="D20" s="286"/>
    </row>
    <row r="21" spans="1:4" s="68" customFormat="1" x14ac:dyDescent="0.3">
      <c r="A21" s="105" t="s">
        <v>99</v>
      </c>
      <c r="B21" s="295">
        <v>0</v>
      </c>
      <c r="C21" s="295">
        <v>0</v>
      </c>
      <c r="D21" s="44">
        <v>0</v>
      </c>
    </row>
    <row r="22" spans="1:4" s="68" customFormat="1" x14ac:dyDescent="0.3">
      <c r="A22" s="293" t="s">
        <v>100</v>
      </c>
      <c r="B22" s="277">
        <v>419026</v>
      </c>
      <c r="C22" s="277">
        <v>463143</v>
      </c>
      <c r="D22" s="286"/>
    </row>
    <row r="23" spans="1:4" s="68" customFormat="1" x14ac:dyDescent="0.3">
      <c r="A23" s="105" t="s">
        <v>101</v>
      </c>
      <c r="B23" s="288">
        <v>0</v>
      </c>
      <c r="C23" s="288">
        <v>0</v>
      </c>
      <c r="D23" s="44">
        <v>0</v>
      </c>
    </row>
    <row r="24" spans="1:4" s="68" customFormat="1" x14ac:dyDescent="0.3">
      <c r="A24" s="248" t="s">
        <v>102</v>
      </c>
      <c r="B24" s="38">
        <f>B14+B15+B16+B17-B18+B19+B20+B21+B22+B23</f>
        <v>3012869</v>
      </c>
      <c r="C24" s="38">
        <f>C14+C15+C16+C17-C18+C19+C20+C21+C22+C23</f>
        <v>3364421</v>
      </c>
      <c r="D24" s="38">
        <f>D14+D15+D16+D17-D18+D19+D20+D21+D22+D23</f>
        <v>0</v>
      </c>
    </row>
    <row r="25" spans="1:4" s="68" customFormat="1" x14ac:dyDescent="0.3">
      <c r="A25" s="248" t="s">
        <v>103</v>
      </c>
      <c r="B25" s="38">
        <f>B13-B24</f>
        <v>535961</v>
      </c>
      <c r="C25" s="38">
        <f>C13-C24</f>
        <v>136681</v>
      </c>
      <c r="D25" s="38">
        <f>D13-D24</f>
        <v>0</v>
      </c>
    </row>
    <row r="26" spans="1:4" x14ac:dyDescent="0.3">
      <c r="A26" s="71" t="s">
        <v>104</v>
      </c>
      <c r="B26" s="45">
        <f>IF(B13-B24&gt;0,B13-B24,"")</f>
        <v>535961</v>
      </c>
      <c r="C26" s="45">
        <f>IF(C13-C24&gt;0,C13-C24,"")</f>
        <v>136681</v>
      </c>
      <c r="D26" s="45" t="str">
        <f>IF(D13-D24&gt;0,D13-D24,"")</f>
        <v/>
      </c>
    </row>
    <row r="27" spans="1:4" x14ac:dyDescent="0.3">
      <c r="A27" s="71" t="s">
        <v>105</v>
      </c>
      <c r="B27" s="45" t="str">
        <f>IF(B13-B24&lt;0,-B13+B24,"")</f>
        <v/>
      </c>
      <c r="C27" s="45" t="str">
        <f>IF(C13-C24&lt;0,-C13+C24,"")</f>
        <v/>
      </c>
      <c r="D27" s="45" t="str">
        <f>IF(D13-D24&lt;0,-D13+D24,"")</f>
        <v/>
      </c>
    </row>
    <row r="28" spans="1:4" x14ac:dyDescent="0.3">
      <c r="A28" s="71" t="s">
        <v>106</v>
      </c>
      <c r="B28" s="289">
        <v>0</v>
      </c>
      <c r="C28" s="289">
        <v>0</v>
      </c>
      <c r="D28" s="44">
        <v>0</v>
      </c>
    </row>
    <row r="29" spans="1:4" x14ac:dyDescent="0.3">
      <c r="A29" s="285" t="s">
        <v>107</v>
      </c>
      <c r="B29" s="277">
        <v>3</v>
      </c>
      <c r="C29" s="277">
        <v>30</v>
      </c>
      <c r="D29" s="286"/>
    </row>
    <row r="30" spans="1:4" x14ac:dyDescent="0.3">
      <c r="A30" s="71" t="s">
        <v>108</v>
      </c>
      <c r="B30" s="295">
        <v>0</v>
      </c>
      <c r="C30" s="295">
        <v>0</v>
      </c>
      <c r="D30" s="44">
        <v>0</v>
      </c>
    </row>
    <row r="31" spans="1:4" x14ac:dyDescent="0.3">
      <c r="A31" s="285" t="s">
        <v>109</v>
      </c>
      <c r="B31" s="277">
        <v>19449</v>
      </c>
      <c r="C31" s="277">
        <v>9933</v>
      </c>
      <c r="D31" s="286"/>
    </row>
    <row r="32" spans="1:4" x14ac:dyDescent="0.3">
      <c r="A32" s="248" t="s">
        <v>110</v>
      </c>
      <c r="B32" s="296">
        <f>B31+B30+B29+B28</f>
        <v>19452</v>
      </c>
      <c r="C32" s="296">
        <f>C31+C30+C29+C28</f>
        <v>9963</v>
      </c>
      <c r="D32" s="177">
        <f>D31+D30+D29+D28</f>
        <v>0</v>
      </c>
    </row>
    <row r="33" spans="1:4" ht="27.6" customHeight="1" x14ac:dyDescent="0.3">
      <c r="A33" s="105" t="s">
        <v>111</v>
      </c>
      <c r="B33" s="289">
        <v>0</v>
      </c>
      <c r="C33" s="289">
        <v>0</v>
      </c>
      <c r="D33" s="44">
        <v>0</v>
      </c>
    </row>
    <row r="34" spans="1:4" x14ac:dyDescent="0.3">
      <c r="A34" s="293" t="s">
        <v>112</v>
      </c>
      <c r="B34" s="294">
        <v>29166</v>
      </c>
      <c r="C34" s="294">
        <v>39758</v>
      </c>
      <c r="D34" s="286"/>
    </row>
    <row r="35" spans="1:4" x14ac:dyDescent="0.3">
      <c r="A35" s="293" t="s">
        <v>113</v>
      </c>
      <c r="B35" s="277">
        <v>-767</v>
      </c>
      <c r="C35" s="277">
        <v>3822</v>
      </c>
      <c r="D35" s="286"/>
    </row>
    <row r="36" spans="1:4" s="68" customFormat="1" x14ac:dyDescent="0.3">
      <c r="A36" s="248" t="s">
        <v>114</v>
      </c>
      <c r="B36" s="290">
        <f>SUM(B33:B35)</f>
        <v>28399</v>
      </c>
      <c r="C36" s="290">
        <f>SUM(C33:C35)</f>
        <v>43580</v>
      </c>
      <c r="D36" s="38">
        <f>SUM(D33:D35)</f>
        <v>0</v>
      </c>
    </row>
    <row r="37" spans="1:4" s="68" customFormat="1" x14ac:dyDescent="0.3">
      <c r="A37" s="248" t="s">
        <v>115</v>
      </c>
      <c r="B37" s="38">
        <f>B32-B36</f>
        <v>-8947</v>
      </c>
      <c r="C37" s="38">
        <f>C32-C36</f>
        <v>-33617</v>
      </c>
      <c r="D37" s="38">
        <f>D32-D36</f>
        <v>0</v>
      </c>
    </row>
    <row r="38" spans="1:4" x14ac:dyDescent="0.3">
      <c r="A38" s="71" t="s">
        <v>116</v>
      </c>
      <c r="B38" s="45" t="str">
        <f>IF(B32-B36&gt;0,B32-B36,"")</f>
        <v/>
      </c>
      <c r="C38" s="45" t="str">
        <f>IF(C32-C36&gt;0,C32-C36,"")</f>
        <v/>
      </c>
      <c r="D38" s="45" t="str">
        <f>IF(D32-D36&gt;0,D32-D36,"")</f>
        <v/>
      </c>
    </row>
    <row r="39" spans="1:4" x14ac:dyDescent="0.3">
      <c r="A39" s="71" t="s">
        <v>117</v>
      </c>
      <c r="B39" s="45">
        <f>IF(B32-B36&lt;0,-B32+B36,"")</f>
        <v>8947</v>
      </c>
      <c r="C39" s="45">
        <f>IF(C32-C36&lt;0,-C32+C36,"")</f>
        <v>33617</v>
      </c>
      <c r="D39" s="45" t="str">
        <f>IF(D32-D36&lt;0,-D32+D36,"")</f>
        <v/>
      </c>
    </row>
    <row r="40" spans="1:4" s="68" customFormat="1" x14ac:dyDescent="0.3">
      <c r="A40" s="248" t="s">
        <v>118</v>
      </c>
      <c r="B40" s="38">
        <f>B25+B37</f>
        <v>527014</v>
      </c>
      <c r="C40" s="38">
        <f>C25+C37</f>
        <v>103064</v>
      </c>
      <c r="D40" s="38">
        <f>D25+D37</f>
        <v>0</v>
      </c>
    </row>
    <row r="41" spans="1:4" x14ac:dyDescent="0.3">
      <c r="A41" s="71" t="s">
        <v>119</v>
      </c>
      <c r="B41" s="45">
        <f>IF(B25+B37&gt;0,B25+B37,"")</f>
        <v>527014</v>
      </c>
      <c r="C41" s="45">
        <f>IF(C25+C37&gt;0,C25+C37,"")</f>
        <v>103064</v>
      </c>
      <c r="D41" s="45" t="str">
        <f>IF(D25+D37&gt;0,D25+D37,"")</f>
        <v/>
      </c>
    </row>
    <row r="42" spans="1:4" x14ac:dyDescent="0.3">
      <c r="A42" s="71" t="s">
        <v>120</v>
      </c>
      <c r="B42" s="45" t="str">
        <f>IF(B25+B37&lt;0,-B25-B37,"")</f>
        <v/>
      </c>
      <c r="C42" s="45" t="str">
        <f>IF(C25+C37&lt;0,-C25-C37,"")</f>
        <v/>
      </c>
      <c r="D42" s="45" t="str">
        <f>IF(D25+D37&lt;0,-D25-D37,"")</f>
        <v/>
      </c>
    </row>
    <row r="43" spans="1:4" s="149" customFormat="1" x14ac:dyDescent="0.3">
      <c r="A43" s="248" t="s">
        <v>121</v>
      </c>
      <c r="B43" s="46">
        <v>0</v>
      </c>
      <c r="C43" s="46">
        <v>0</v>
      </c>
      <c r="D43" s="46">
        <v>0</v>
      </c>
    </row>
    <row r="44" spans="1:4" s="149" customFormat="1" x14ac:dyDescent="0.3">
      <c r="A44" s="248" t="s">
        <v>122</v>
      </c>
      <c r="B44" s="46">
        <v>0</v>
      </c>
      <c r="C44" s="46">
        <v>0</v>
      </c>
      <c r="D44" s="46">
        <v>0</v>
      </c>
    </row>
    <row r="45" spans="1:4" s="149" customFormat="1" x14ac:dyDescent="0.3">
      <c r="A45" s="248" t="s">
        <v>123</v>
      </c>
      <c r="B45" s="38">
        <f>B43-B44</f>
        <v>0</v>
      </c>
      <c r="C45" s="38">
        <f>C43-C44</f>
        <v>0</v>
      </c>
      <c r="D45" s="38">
        <f>D43-D44</f>
        <v>0</v>
      </c>
    </row>
    <row r="46" spans="1:4" s="93" customFormat="1" x14ac:dyDescent="0.3">
      <c r="A46" s="71" t="s">
        <v>124</v>
      </c>
      <c r="B46" s="45" t="str">
        <f>IF(B43-B44&gt;0,B43-B44,"")</f>
        <v/>
      </c>
      <c r="C46" s="45" t="str">
        <f>IF(C43-C44&gt;0,C43-C44,"")</f>
        <v/>
      </c>
      <c r="D46" s="45" t="str">
        <f>IF(D43-D44&gt;0,D43-D44,"")</f>
        <v/>
      </c>
    </row>
    <row r="47" spans="1:4" s="93" customFormat="1" x14ac:dyDescent="0.3">
      <c r="A47" s="71" t="s">
        <v>125</v>
      </c>
      <c r="B47" s="45" t="str">
        <f>IF(B43-B44&lt;0,-B43+B44,"")</f>
        <v/>
      </c>
      <c r="C47" s="45" t="str">
        <f>IF(C43-C44&lt;0,-C43+C44,"")</f>
        <v/>
      </c>
      <c r="D47" s="45" t="str">
        <f>IF(D43-D44&lt;0,-D43+D44,"")</f>
        <v/>
      </c>
    </row>
    <row r="48" spans="1:4" s="149" customFormat="1" x14ac:dyDescent="0.3">
      <c r="A48" s="248" t="s">
        <v>126</v>
      </c>
      <c r="B48" s="38">
        <f>B13+B32+B43</f>
        <v>3568282</v>
      </c>
      <c r="C48" s="38">
        <f>C13+C32+C43</f>
        <v>3511065</v>
      </c>
      <c r="D48" s="38">
        <f>D13+D32+D43</f>
        <v>0</v>
      </c>
    </row>
    <row r="49" spans="1:4" s="149" customFormat="1" x14ac:dyDescent="0.3">
      <c r="A49" s="248" t="s">
        <v>127</v>
      </c>
      <c r="B49" s="38">
        <f>B24+B36+B44</f>
        <v>3041268</v>
      </c>
      <c r="C49" s="38">
        <f>C24+C36+C44</f>
        <v>3408001</v>
      </c>
      <c r="D49" s="38">
        <f>D24+D36+D44</f>
        <v>0</v>
      </c>
    </row>
    <row r="50" spans="1:4" s="149" customFormat="1" x14ac:dyDescent="0.3">
      <c r="A50" s="248" t="s">
        <v>128</v>
      </c>
      <c r="B50" s="38">
        <f>B48-B49</f>
        <v>527014</v>
      </c>
      <c r="C50" s="38">
        <f>C48-C49</f>
        <v>103064</v>
      </c>
      <c r="D50" s="38">
        <f>D48-D49</f>
        <v>0</v>
      </c>
    </row>
    <row r="51" spans="1:4" s="93" customFormat="1" x14ac:dyDescent="0.3">
      <c r="A51" s="71" t="s">
        <v>129</v>
      </c>
      <c r="B51" s="45">
        <f>IF(B48-B49&gt;0,B48-B49,"")</f>
        <v>527014</v>
      </c>
      <c r="C51" s="45">
        <f>IF(C48-C49&gt;0,C48-C49,"")</f>
        <v>103064</v>
      </c>
      <c r="D51" s="45" t="str">
        <f>IF(D48-D49&gt;0,D48-D49,"")</f>
        <v/>
      </c>
    </row>
    <row r="52" spans="1:4" s="93" customFormat="1" x14ac:dyDescent="0.3">
      <c r="A52" s="71" t="s">
        <v>130</v>
      </c>
      <c r="B52" s="45" t="str">
        <f>IF(B48-B49&lt;0,-B48+B49,"")</f>
        <v/>
      </c>
      <c r="C52" s="45" t="str">
        <f>IF(C48-C49&lt;0,-C48+C49,"")</f>
        <v/>
      </c>
      <c r="D52" s="45" t="str">
        <f>IF(D48-D49&lt;0,-D48+D49,"")</f>
        <v/>
      </c>
    </row>
    <row r="53" spans="1:4" s="93" customFormat="1" x14ac:dyDescent="0.3">
      <c r="A53" s="71" t="s">
        <v>131</v>
      </c>
      <c r="B53" s="289">
        <v>0</v>
      </c>
      <c r="C53" s="289">
        <v>0</v>
      </c>
      <c r="D53" s="44">
        <v>0</v>
      </c>
    </row>
    <row r="54" spans="1:4" s="93" customFormat="1" x14ac:dyDescent="0.3">
      <c r="A54" s="285" t="s">
        <v>132</v>
      </c>
      <c r="B54" s="277">
        <v>35683</v>
      </c>
      <c r="C54" s="277">
        <v>34954</v>
      </c>
      <c r="D54" s="286"/>
    </row>
    <row r="55" spans="1:4" s="149" customFormat="1" x14ac:dyDescent="0.3">
      <c r="A55" s="248" t="s">
        <v>133</v>
      </c>
      <c r="B55" s="290">
        <f>B50-B53-B54</f>
        <v>491331</v>
      </c>
      <c r="C55" s="290">
        <f>C50-C53-C54</f>
        <v>68110</v>
      </c>
      <c r="D55" s="38">
        <f>D50-D53-D54</f>
        <v>0</v>
      </c>
    </row>
    <row r="56" spans="1:4" s="93" customFormat="1" x14ac:dyDescent="0.3">
      <c r="A56" s="71" t="s">
        <v>134</v>
      </c>
      <c r="B56" s="45">
        <f>IF(B55&gt;=0,B55,"")</f>
        <v>491331</v>
      </c>
      <c r="C56" s="45">
        <f>IF(C55&gt;=0,C55,"")</f>
        <v>68110</v>
      </c>
      <c r="D56" s="45">
        <f>IF(D55&gt;=0,D55,"")</f>
        <v>0</v>
      </c>
    </row>
    <row r="57" spans="1:4" s="93" customFormat="1" x14ac:dyDescent="0.3">
      <c r="A57" s="71" t="s">
        <v>135</v>
      </c>
      <c r="B57" s="45" t="str">
        <f>IF(B55&lt;0,-B55,"")</f>
        <v/>
      </c>
      <c r="C57" s="45" t="str">
        <f>IF(C55&lt;0,-C55,"")</f>
        <v/>
      </c>
      <c r="D57" s="45" t="str">
        <f>IF(D55&lt;0,-D55,"")</f>
        <v/>
      </c>
    </row>
    <row r="58" spans="1:4" s="93" customFormat="1" x14ac:dyDescent="0.3">
      <c r="A58" s="106"/>
      <c r="B58" s="37"/>
      <c r="C58" s="37"/>
      <c r="D58" s="37"/>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244" customWidth="1"/>
    <col min="2" max="4" width="9.109375" style="97" customWidth="1"/>
    <col min="5" max="5" width="2" style="244" customWidth="1"/>
    <col min="6" max="6" width="27.6640625" style="244" customWidth="1"/>
    <col min="7" max="9" width="7.5546875" style="62" customWidth="1"/>
    <col min="10" max="10" width="1.5546875" style="244" customWidth="1"/>
    <col min="11" max="11" width="27.44140625" style="244" customWidth="1"/>
    <col min="12" max="12" width="9.5546875" style="62" bestFit="1" customWidth="1"/>
    <col min="13" max="13" width="7.6640625" style="62" customWidth="1"/>
    <col min="14" max="15" width="9.109375" style="245" customWidth="1"/>
    <col min="16" max="16" width="10.44140625" style="246" customWidth="1"/>
    <col min="17" max="17" width="9.109375" style="246" customWidth="1"/>
    <col min="18" max="18" width="9.109375" style="270" customWidth="1"/>
    <col min="19" max="16384" width="9.109375" style="270"/>
  </cols>
  <sheetData>
    <row r="1" spans="1:17" ht="14.4" customHeight="1" x14ac:dyDescent="0.3">
      <c r="A1" s="316" t="s">
        <v>136</v>
      </c>
      <c r="B1" s="317"/>
      <c r="C1" s="317"/>
      <c r="D1" s="317"/>
    </row>
    <row r="2" spans="1:17" x14ac:dyDescent="0.3">
      <c r="A2" s="102"/>
      <c r="B2" s="102"/>
      <c r="C2" s="102"/>
      <c r="D2" s="102"/>
      <c r="F2" s="102"/>
      <c r="G2" s="102"/>
      <c r="H2" s="102"/>
      <c r="I2" s="102"/>
      <c r="K2" s="102"/>
      <c r="L2" s="102"/>
      <c r="M2" s="102"/>
    </row>
    <row r="3" spans="1:17" ht="24" customHeight="1" x14ac:dyDescent="0.3">
      <c r="A3" s="242" t="s">
        <v>137</v>
      </c>
      <c r="B3" s="243">
        <f>'1A-Bilant'!B5</f>
        <v>2018</v>
      </c>
      <c r="C3" s="243">
        <f>'1A-Bilant'!C5</f>
        <v>2019</v>
      </c>
      <c r="D3" s="243" t="str">
        <f>'1A-Bilant'!D5</f>
        <v>AN</v>
      </c>
      <c r="F3" s="242" t="s">
        <v>138</v>
      </c>
      <c r="G3" s="243">
        <f>'1A-Bilant'!B5</f>
        <v>2018</v>
      </c>
      <c r="H3" s="243">
        <f>'1A-Bilant'!C5</f>
        <v>2019</v>
      </c>
      <c r="I3" s="243" t="str">
        <f>'1A-Bilant'!D5</f>
        <v>AN</v>
      </c>
      <c r="K3" s="242" t="s">
        <v>139</v>
      </c>
      <c r="L3" s="243">
        <f>'1A-Bilant'!C5</f>
        <v>2019</v>
      </c>
      <c r="M3" s="243" t="str">
        <f>'1A-Bilant'!D5</f>
        <v>AN</v>
      </c>
    </row>
    <row r="4" spans="1:17" s="52" customFormat="1" ht="15.6" customHeight="1" x14ac:dyDescent="0.3">
      <c r="A4" s="242" t="s">
        <v>140</v>
      </c>
      <c r="B4" s="47">
        <f>'1A-Bilant'!B18</f>
        <v>636456</v>
      </c>
      <c r="C4" s="47">
        <f>'1A-Bilant'!C18</f>
        <v>778244</v>
      </c>
      <c r="D4" s="47">
        <f>'1A-Bilant'!D18</f>
        <v>0</v>
      </c>
      <c r="E4" s="102"/>
      <c r="F4" s="242" t="s">
        <v>140</v>
      </c>
      <c r="G4" s="49">
        <f t="shared" ref="G4:G22" si="0">IFERROR(B4/B$21,"")</f>
        <v>0.3575159657502428</v>
      </c>
      <c r="H4" s="49">
        <f t="shared" ref="H4:H22" si="1">IFERROR(C4/C$21,"")</f>
        <v>0.74188354554909341</v>
      </c>
      <c r="I4" s="49" t="str">
        <f t="shared" ref="I4:I22" si="2">IFERROR(D4/D$21,"")</f>
        <v/>
      </c>
      <c r="J4" s="102"/>
      <c r="K4" s="242" t="s">
        <v>140</v>
      </c>
      <c r="L4" s="49">
        <f t="shared" ref="L4:L22" si="3">IFERROR((C4-B4)/B4,"")</f>
        <v>0.22277737974031198</v>
      </c>
      <c r="M4" s="49">
        <f t="shared" ref="M4:M22" si="4">IFERROR((D4-C4)/C4,"")</f>
        <v>-1</v>
      </c>
      <c r="N4" s="50"/>
      <c r="O4" s="50"/>
      <c r="P4" s="51"/>
      <c r="Q4" s="51"/>
    </row>
    <row r="5" spans="1:17" s="52" customFormat="1" ht="15.6" customHeight="1" x14ac:dyDescent="0.3">
      <c r="A5" s="242" t="s">
        <v>141</v>
      </c>
      <c r="B5" s="47">
        <f>SUM(B6:B9)</f>
        <v>1143761</v>
      </c>
      <c r="C5" s="47">
        <f>SUM(C6:C9)</f>
        <v>270767</v>
      </c>
      <c r="D5" s="47">
        <f>SUM(D6:D9)</f>
        <v>0</v>
      </c>
      <c r="E5" s="102"/>
      <c r="F5" s="242" t="s">
        <v>141</v>
      </c>
      <c r="G5" s="49">
        <f t="shared" si="0"/>
        <v>0.6424840342497572</v>
      </c>
      <c r="H5" s="49">
        <f t="shared" si="1"/>
        <v>0.25811645445090664</v>
      </c>
      <c r="I5" s="49" t="str">
        <f t="shared" si="2"/>
        <v/>
      </c>
      <c r="J5" s="102"/>
      <c r="K5" s="242" t="s">
        <v>141</v>
      </c>
      <c r="L5" s="49">
        <f t="shared" si="3"/>
        <v>-0.76326610192164268</v>
      </c>
      <c r="M5" s="49">
        <f t="shared" si="4"/>
        <v>-1</v>
      </c>
      <c r="N5" s="50"/>
      <c r="O5" s="50"/>
      <c r="P5" s="51"/>
      <c r="Q5" s="51"/>
    </row>
    <row r="6" spans="1:17" s="52" customFormat="1" ht="15.6" customHeight="1" x14ac:dyDescent="0.3">
      <c r="A6" s="53" t="s">
        <v>142</v>
      </c>
      <c r="B6" s="54">
        <f>'1A-Bilant'!B25</f>
        <v>65899</v>
      </c>
      <c r="C6" s="54">
        <f>'1A-Bilant'!C25</f>
        <v>87174</v>
      </c>
      <c r="D6" s="54">
        <f>'1A-Bilant'!D25</f>
        <v>0</v>
      </c>
      <c r="E6" s="102"/>
      <c r="F6" s="53" t="s">
        <v>142</v>
      </c>
      <c r="G6" s="48">
        <f t="shared" si="0"/>
        <v>3.7017397317293338E-2</v>
      </c>
      <c r="H6" s="48">
        <f t="shared" si="1"/>
        <v>8.3101130493388534E-2</v>
      </c>
      <c r="I6" s="48" t="str">
        <f t="shared" si="2"/>
        <v/>
      </c>
      <c r="J6" s="244"/>
      <c r="K6" s="53" t="s">
        <v>142</v>
      </c>
      <c r="L6" s="48">
        <f t="shared" si="3"/>
        <v>0.32284253175313737</v>
      </c>
      <c r="M6" s="48">
        <f t="shared" si="4"/>
        <v>-1</v>
      </c>
      <c r="N6" s="245"/>
      <c r="O6" s="50"/>
      <c r="P6" s="51"/>
      <c r="Q6" s="51"/>
    </row>
    <row r="7" spans="1:17" s="52" customFormat="1" ht="15.6" customHeight="1" x14ac:dyDescent="0.3">
      <c r="A7" s="53" t="s">
        <v>143</v>
      </c>
      <c r="B7" s="54">
        <f>'1A-Bilant'!B26</f>
        <v>137951</v>
      </c>
      <c r="C7" s="54">
        <f>'1A-Bilant'!C26</f>
        <v>150831</v>
      </c>
      <c r="D7" s="54">
        <f>'1A-Bilant'!D26</f>
        <v>0</v>
      </c>
      <c r="E7" s="102"/>
      <c r="F7" s="53" t="s">
        <v>143</v>
      </c>
      <c r="G7" s="48">
        <f t="shared" si="0"/>
        <v>7.7491114847234921E-2</v>
      </c>
      <c r="H7" s="48">
        <f t="shared" si="1"/>
        <v>0.14378400226499055</v>
      </c>
      <c r="I7" s="48" t="str">
        <f t="shared" si="2"/>
        <v/>
      </c>
      <c r="J7" s="244"/>
      <c r="K7" s="53" t="s">
        <v>143</v>
      </c>
      <c r="L7" s="48">
        <f t="shared" si="3"/>
        <v>9.3366485201267113E-2</v>
      </c>
      <c r="M7" s="48">
        <f t="shared" si="4"/>
        <v>-1</v>
      </c>
      <c r="N7" s="245"/>
      <c r="O7" s="50"/>
      <c r="P7" s="51"/>
      <c r="Q7" s="51"/>
    </row>
    <row r="8" spans="1:17" s="52" customFormat="1" ht="15" customHeight="1" x14ac:dyDescent="0.3">
      <c r="A8" s="53" t="s">
        <v>144</v>
      </c>
      <c r="B8" s="54">
        <f>'1A-Bilant'!B30</f>
        <v>0</v>
      </c>
      <c r="C8" s="54">
        <f>'1A-Bilant'!C30</f>
        <v>0</v>
      </c>
      <c r="D8" s="54">
        <f>'1A-Bilant'!D30</f>
        <v>0</v>
      </c>
      <c r="E8" s="102"/>
      <c r="F8" s="53" t="s">
        <v>144</v>
      </c>
      <c r="G8" s="48">
        <f t="shared" si="0"/>
        <v>0</v>
      </c>
      <c r="H8" s="48">
        <f t="shared" si="1"/>
        <v>0</v>
      </c>
      <c r="I8" s="48" t="str">
        <f t="shared" si="2"/>
        <v/>
      </c>
      <c r="J8" s="244"/>
      <c r="K8" s="53" t="s">
        <v>144</v>
      </c>
      <c r="L8" s="48" t="str">
        <f t="shared" si="3"/>
        <v/>
      </c>
      <c r="M8" s="48" t="str">
        <f t="shared" si="4"/>
        <v/>
      </c>
      <c r="N8" s="245"/>
      <c r="O8" s="50"/>
      <c r="P8" s="51"/>
      <c r="Q8" s="51"/>
    </row>
    <row r="9" spans="1:17" s="52" customFormat="1" ht="15.6" customHeight="1" x14ac:dyDescent="0.3">
      <c r="A9" s="53" t="s">
        <v>145</v>
      </c>
      <c r="B9" s="54">
        <f>'1A-Bilant'!B27+'1A-Bilant'!B28</f>
        <v>939911</v>
      </c>
      <c r="C9" s="54">
        <f>'1A-Bilant'!C27+'1A-Bilant'!C28</f>
        <v>32762</v>
      </c>
      <c r="D9" s="54">
        <f>'1A-Bilant'!D27+'1A-Bilant'!D28</f>
        <v>0</v>
      </c>
      <c r="E9" s="102"/>
      <c r="F9" s="53" t="s">
        <v>145</v>
      </c>
      <c r="G9" s="48">
        <f t="shared" si="0"/>
        <v>0.52797552208522891</v>
      </c>
      <c r="H9" s="48">
        <f t="shared" si="1"/>
        <v>3.1231321692527535E-2</v>
      </c>
      <c r="I9" s="48" t="str">
        <f t="shared" si="2"/>
        <v/>
      </c>
      <c r="J9" s="244"/>
      <c r="K9" s="53" t="s">
        <v>145</v>
      </c>
      <c r="L9" s="48">
        <f t="shared" si="3"/>
        <v>-0.96514350826833606</v>
      </c>
      <c r="M9" s="48">
        <f t="shared" si="4"/>
        <v>-1</v>
      </c>
      <c r="N9" s="245"/>
      <c r="O9" s="50"/>
      <c r="P9" s="51"/>
      <c r="Q9" s="51"/>
    </row>
    <row r="10" spans="1:17" s="52" customFormat="1" ht="15.6" customHeight="1" x14ac:dyDescent="0.3">
      <c r="A10" s="242" t="s">
        <v>146</v>
      </c>
      <c r="B10" s="47">
        <f>B4+B5</f>
        <v>1780217</v>
      </c>
      <c r="C10" s="47">
        <f>C4+C5</f>
        <v>1049011</v>
      </c>
      <c r="D10" s="47">
        <f>D4+D5</f>
        <v>0</v>
      </c>
      <c r="E10" s="102"/>
      <c r="F10" s="242" t="s">
        <v>146</v>
      </c>
      <c r="G10" s="49">
        <f t="shared" si="0"/>
        <v>1</v>
      </c>
      <c r="H10" s="49">
        <f t="shared" si="1"/>
        <v>1</v>
      </c>
      <c r="I10" s="49" t="str">
        <f t="shared" si="2"/>
        <v/>
      </c>
      <c r="J10" s="102"/>
      <c r="K10" s="242" t="s">
        <v>146</v>
      </c>
      <c r="L10" s="49">
        <f t="shared" si="3"/>
        <v>-0.41073981430353718</v>
      </c>
      <c r="M10" s="49">
        <f t="shared" si="4"/>
        <v>-1</v>
      </c>
      <c r="N10" s="50"/>
      <c r="O10" s="50"/>
      <c r="P10" s="51"/>
      <c r="Q10" s="51"/>
    </row>
    <row r="11" spans="1:17" s="52" customFormat="1" ht="15.6" customHeight="1" x14ac:dyDescent="0.3">
      <c r="A11" s="242" t="s">
        <v>147</v>
      </c>
      <c r="B11" s="47">
        <f>SUM(B12:B15)</f>
        <v>929709</v>
      </c>
      <c r="C11" s="47">
        <f>SUM(C12:C15)</f>
        <v>745233</v>
      </c>
      <c r="D11" s="47">
        <f>SUM(D12:D15)</f>
        <v>0</v>
      </c>
      <c r="E11" s="102"/>
      <c r="F11" s="242" t="s">
        <v>147</v>
      </c>
      <c r="G11" s="49">
        <f t="shared" si="0"/>
        <v>0.5222447600489154</v>
      </c>
      <c r="H11" s="49">
        <f t="shared" si="1"/>
        <v>0.71041485742284871</v>
      </c>
      <c r="I11" s="49" t="str">
        <f t="shared" si="2"/>
        <v/>
      </c>
      <c r="J11" s="102"/>
      <c r="K11" s="242" t="s">
        <v>147</v>
      </c>
      <c r="L11" s="49">
        <f t="shared" si="3"/>
        <v>-0.19842337763751883</v>
      </c>
      <c r="M11" s="49">
        <f t="shared" si="4"/>
        <v>-1</v>
      </c>
      <c r="N11" s="50"/>
      <c r="O11" s="50"/>
      <c r="P11" s="51"/>
      <c r="Q11" s="51"/>
    </row>
    <row r="12" spans="1:17" s="247" customFormat="1" ht="15.6" customHeight="1" x14ac:dyDescent="0.3">
      <c r="A12" s="53" t="s">
        <v>148</v>
      </c>
      <c r="B12" s="54">
        <f>'1A-Bilant'!B34+'1A-Bilant'!B35</f>
        <v>738576</v>
      </c>
      <c r="C12" s="54">
        <f>'1A-Bilant'!C34+'1A-Bilant'!C35</f>
        <v>548359</v>
      </c>
      <c r="D12" s="54">
        <f>'1A-Bilant'!D34+'1A-Bilant'!D35</f>
        <v>0</v>
      </c>
      <c r="E12" s="244"/>
      <c r="F12" s="53" t="s">
        <v>148</v>
      </c>
      <c r="G12" s="48">
        <f t="shared" si="0"/>
        <v>0.41487975904061136</v>
      </c>
      <c r="H12" s="48">
        <f t="shared" si="1"/>
        <v>0.52273903705490221</v>
      </c>
      <c r="I12" s="48" t="str">
        <f t="shared" si="2"/>
        <v/>
      </c>
      <c r="J12" s="244"/>
      <c r="K12" s="53" t="s">
        <v>148</v>
      </c>
      <c r="L12" s="48">
        <f t="shared" si="3"/>
        <v>-0.25754560126513726</v>
      </c>
      <c r="M12" s="48">
        <f t="shared" si="4"/>
        <v>-1</v>
      </c>
      <c r="N12" s="245"/>
      <c r="O12" s="245"/>
      <c r="P12" s="246"/>
      <c r="Q12" s="246"/>
    </row>
    <row r="13" spans="1:17" s="247" customFormat="1" ht="15.6" customHeight="1" x14ac:dyDescent="0.3">
      <c r="A13" s="53" t="s">
        <v>149</v>
      </c>
      <c r="B13" s="54">
        <f>'1A-Bilant'!B37+'1A-Bilant'!B38</f>
        <v>75256</v>
      </c>
      <c r="C13" s="54">
        <f>'1A-Bilant'!C37+'1A-Bilant'!C38</f>
        <v>127965</v>
      </c>
      <c r="D13" s="54">
        <f>'1A-Bilant'!D37+'1A-Bilant'!D38</f>
        <v>0</v>
      </c>
      <c r="E13" s="244"/>
      <c r="F13" s="53" t="s">
        <v>149</v>
      </c>
      <c r="G13" s="48">
        <f t="shared" si="0"/>
        <v>4.2273498118487803E-2</v>
      </c>
      <c r="H13" s="48">
        <f t="shared" si="1"/>
        <v>0.12198632807472944</v>
      </c>
      <c r="I13" s="48" t="str">
        <f t="shared" si="2"/>
        <v/>
      </c>
      <c r="J13" s="244"/>
      <c r="K13" s="53" t="s">
        <v>149</v>
      </c>
      <c r="L13" s="48">
        <f t="shared" si="3"/>
        <v>0.70039598171574358</v>
      </c>
      <c r="M13" s="48">
        <f t="shared" si="4"/>
        <v>-1</v>
      </c>
      <c r="N13" s="245"/>
      <c r="O13" s="245"/>
      <c r="P13" s="246"/>
      <c r="Q13" s="246"/>
    </row>
    <row r="14" spans="1:17" s="247" customFormat="1" ht="15.6" customHeight="1" x14ac:dyDescent="0.3">
      <c r="A14" s="53" t="s">
        <v>150</v>
      </c>
      <c r="B14" s="54">
        <f>'1A-Bilant'!B36+'1A-Bilant'!B39+'1A-Bilant'!B40+'1A-Bilant'!B41</f>
        <v>132710</v>
      </c>
      <c r="C14" s="54">
        <f>'1A-Bilant'!C36+'1A-Bilant'!C39+'1A-Bilant'!C40+'1A-Bilant'!C41</f>
        <v>93142</v>
      </c>
      <c r="D14" s="54">
        <f>'1A-Bilant'!D36+'1A-Bilant'!D39+'1A-Bilant'!D40+'1A-Bilant'!D41</f>
        <v>0</v>
      </c>
      <c r="E14" s="244"/>
      <c r="F14" s="53" t="s">
        <v>150</v>
      </c>
      <c r="G14" s="48">
        <f t="shared" si="0"/>
        <v>7.4547091730951906E-2</v>
      </c>
      <c r="H14" s="48">
        <f t="shared" si="1"/>
        <v>8.879029867179658E-2</v>
      </c>
      <c r="I14" s="48" t="str">
        <f t="shared" si="2"/>
        <v/>
      </c>
      <c r="J14" s="244"/>
      <c r="K14" s="53" t="s">
        <v>150</v>
      </c>
      <c r="L14" s="48">
        <f t="shared" si="3"/>
        <v>-0.29815386933916055</v>
      </c>
      <c r="M14" s="48">
        <f t="shared" si="4"/>
        <v>-1</v>
      </c>
      <c r="N14" s="245"/>
      <c r="O14" s="245"/>
      <c r="P14" s="246"/>
      <c r="Q14" s="246"/>
    </row>
    <row r="15" spans="1:17" s="247" customFormat="1" ht="15.6" customHeight="1" x14ac:dyDescent="0.3">
      <c r="A15" s="53" t="s">
        <v>151</v>
      </c>
      <c r="B15" s="54">
        <f>'1A-Bilant'!B56</f>
        <v>-16833</v>
      </c>
      <c r="C15" s="54">
        <f>'1A-Bilant'!C56</f>
        <v>-24233</v>
      </c>
      <c r="D15" s="54">
        <f>'1A-Bilant'!D56</f>
        <v>0</v>
      </c>
      <c r="E15" s="244"/>
      <c r="F15" s="53" t="s">
        <v>151</v>
      </c>
      <c r="G15" s="48">
        <f t="shared" si="0"/>
        <v>-9.4555888411356585E-3</v>
      </c>
      <c r="H15" s="48">
        <f t="shared" si="1"/>
        <v>-2.3100806378579444E-2</v>
      </c>
      <c r="I15" s="48" t="str">
        <f t="shared" si="2"/>
        <v/>
      </c>
      <c r="J15" s="244"/>
      <c r="K15" s="53" t="s">
        <v>151</v>
      </c>
      <c r="L15" s="48">
        <f t="shared" si="3"/>
        <v>0.43961266559733858</v>
      </c>
      <c r="M15" s="48">
        <f t="shared" si="4"/>
        <v>-1</v>
      </c>
      <c r="N15" s="245"/>
      <c r="O15" s="245"/>
      <c r="P15" s="246"/>
      <c r="Q15" s="246"/>
    </row>
    <row r="16" spans="1:17" s="52" customFormat="1" ht="15.6" customHeight="1" x14ac:dyDescent="0.3">
      <c r="A16" s="242" t="s">
        <v>152</v>
      </c>
      <c r="B16" s="47">
        <f>SUM(B17:B19)</f>
        <v>3177</v>
      </c>
      <c r="C16" s="47">
        <f>SUM(C17:C19)</f>
        <v>235428</v>
      </c>
      <c r="D16" s="47">
        <f>SUM(D17:D19)</f>
        <v>0</v>
      </c>
      <c r="E16" s="102"/>
      <c r="F16" s="242" t="s">
        <v>152</v>
      </c>
      <c r="G16" s="49">
        <f t="shared" si="0"/>
        <v>1.7846138981933101E-3</v>
      </c>
      <c r="H16" s="49">
        <f t="shared" si="1"/>
        <v>0.22442853316123473</v>
      </c>
      <c r="I16" s="49" t="str">
        <f t="shared" si="2"/>
        <v/>
      </c>
      <c r="J16" s="102"/>
      <c r="K16" s="242" t="s">
        <v>152</v>
      </c>
      <c r="L16" s="49">
        <f t="shared" si="3"/>
        <v>73.103871576959392</v>
      </c>
      <c r="M16" s="49">
        <f t="shared" si="4"/>
        <v>-1</v>
      </c>
      <c r="N16" s="50"/>
      <c r="O16" s="50"/>
      <c r="P16" s="51"/>
      <c r="Q16" s="51"/>
    </row>
    <row r="17" spans="1:17" s="52" customFormat="1" ht="15.6" customHeight="1" x14ac:dyDescent="0.3">
      <c r="A17" s="53" t="s">
        <v>153</v>
      </c>
      <c r="B17" s="54">
        <f>'1A-Bilant'!B46+'1A-Bilant'!B47</f>
        <v>0</v>
      </c>
      <c r="C17" s="54">
        <f>'1A-Bilant'!C46+'1A-Bilant'!C47</f>
        <v>0</v>
      </c>
      <c r="D17" s="54">
        <f>'1A-Bilant'!D46+'1A-Bilant'!D47</f>
        <v>0</v>
      </c>
      <c r="E17" s="102"/>
      <c r="F17" s="242" t="s">
        <v>153</v>
      </c>
      <c r="G17" s="49">
        <f t="shared" si="0"/>
        <v>0</v>
      </c>
      <c r="H17" s="49">
        <f t="shared" si="1"/>
        <v>0</v>
      </c>
      <c r="I17" s="49" t="str">
        <f t="shared" si="2"/>
        <v/>
      </c>
      <c r="J17" s="102"/>
      <c r="K17" s="242" t="s">
        <v>153</v>
      </c>
      <c r="L17" s="49" t="str">
        <f t="shared" si="3"/>
        <v/>
      </c>
      <c r="M17" s="49" t="str">
        <f t="shared" si="4"/>
        <v/>
      </c>
      <c r="N17" s="50"/>
      <c r="O17" s="50"/>
      <c r="P17" s="229"/>
      <c r="Q17" s="51"/>
    </row>
    <row r="18" spans="1:17" s="247" customFormat="1" ht="15.6" customHeight="1" x14ac:dyDescent="0.3">
      <c r="A18" s="53" t="s">
        <v>154</v>
      </c>
      <c r="B18" s="54">
        <f>SUM('1A-Bilant'!B48:B53)</f>
        <v>3177</v>
      </c>
      <c r="C18" s="54">
        <f>SUM('1A-Bilant'!C48:C53)</f>
        <v>235428</v>
      </c>
      <c r="D18" s="54">
        <f>SUM('1A-Bilant'!D48:D53)</f>
        <v>0</v>
      </c>
      <c r="E18" s="244"/>
      <c r="F18" s="53" t="s">
        <v>154</v>
      </c>
      <c r="G18" s="48">
        <f t="shared" si="0"/>
        <v>1.7846138981933101E-3</v>
      </c>
      <c r="H18" s="48">
        <f t="shared" si="1"/>
        <v>0.22442853316123473</v>
      </c>
      <c r="I18" s="48" t="str">
        <f t="shared" si="2"/>
        <v/>
      </c>
      <c r="J18" s="244"/>
      <c r="K18" s="53" t="s">
        <v>154</v>
      </c>
      <c r="L18" s="48">
        <f t="shared" si="3"/>
        <v>73.103871576959392</v>
      </c>
      <c r="M18" s="48">
        <f t="shared" si="4"/>
        <v>-1</v>
      </c>
      <c r="N18" s="245"/>
      <c r="O18" s="245"/>
      <c r="P18" s="246"/>
      <c r="Q18" s="246"/>
    </row>
    <row r="19" spans="1:17" s="247" customFormat="1" ht="15.6" customHeight="1" x14ac:dyDescent="0.3">
      <c r="A19" s="53" t="s">
        <v>155</v>
      </c>
      <c r="B19" s="54">
        <f>'1A-Bilant'!B55</f>
        <v>0</v>
      </c>
      <c r="C19" s="54">
        <f>'1A-Bilant'!C55</f>
        <v>0</v>
      </c>
      <c r="D19" s="54">
        <f>'1A-Bilant'!D55</f>
        <v>0</v>
      </c>
      <c r="E19" s="244"/>
      <c r="F19" s="53" t="s">
        <v>155</v>
      </c>
      <c r="G19" s="48">
        <f t="shared" si="0"/>
        <v>0</v>
      </c>
      <c r="H19" s="48">
        <f t="shared" si="1"/>
        <v>0</v>
      </c>
      <c r="I19" s="48" t="str">
        <f t="shared" si="2"/>
        <v/>
      </c>
      <c r="J19" s="244"/>
      <c r="K19" s="53" t="s">
        <v>155</v>
      </c>
      <c r="L19" s="48" t="str">
        <f t="shared" si="3"/>
        <v/>
      </c>
      <c r="M19" s="48" t="str">
        <f t="shared" si="4"/>
        <v/>
      </c>
      <c r="N19" s="245"/>
      <c r="O19" s="245"/>
      <c r="P19" s="246"/>
      <c r="Q19" s="246"/>
    </row>
    <row r="20" spans="1:17" s="52" customFormat="1" ht="15.6" customHeight="1" x14ac:dyDescent="0.3">
      <c r="A20" s="242" t="s">
        <v>156</v>
      </c>
      <c r="B20" s="47">
        <f>'1A-Bilant'!B89</f>
        <v>847331</v>
      </c>
      <c r="C20" s="47">
        <f>'1A-Bilant'!C89</f>
        <v>68350</v>
      </c>
      <c r="D20" s="47">
        <f>'1A-Bilant'!D89</f>
        <v>0</v>
      </c>
      <c r="E20" s="102"/>
      <c r="F20" s="242" t="s">
        <v>156</v>
      </c>
      <c r="G20" s="48">
        <f t="shared" si="0"/>
        <v>0.47597062605289131</v>
      </c>
      <c r="H20" s="49">
        <f t="shared" si="1"/>
        <v>6.5156609415916514E-2</v>
      </c>
      <c r="I20" s="49" t="str">
        <f t="shared" si="2"/>
        <v/>
      </c>
      <c r="J20" s="102"/>
      <c r="K20" s="242" t="s">
        <v>156</v>
      </c>
      <c r="L20" s="49">
        <f t="shared" si="3"/>
        <v>-0.91933494702778484</v>
      </c>
      <c r="M20" s="49">
        <f t="shared" si="4"/>
        <v>-1</v>
      </c>
      <c r="N20" s="50"/>
      <c r="O20" s="50"/>
      <c r="P20" s="51"/>
      <c r="Q20" s="51"/>
    </row>
    <row r="21" spans="1:17" s="52" customFormat="1" ht="15.6" customHeight="1" x14ac:dyDescent="0.3">
      <c r="A21" s="242" t="str">
        <f>'1A-Bilant'!A93</f>
        <v>TOTAL ACTIV</v>
      </c>
      <c r="B21" s="47">
        <f>B4+B5</f>
        <v>1780217</v>
      </c>
      <c r="C21" s="47">
        <f>C4+C5</f>
        <v>1049011</v>
      </c>
      <c r="D21" s="47">
        <f>D4+D5</f>
        <v>0</v>
      </c>
      <c r="E21" s="102"/>
      <c r="F21" s="242" t="s">
        <v>80</v>
      </c>
      <c r="G21" s="48">
        <f t="shared" si="0"/>
        <v>1</v>
      </c>
      <c r="H21" s="49">
        <f t="shared" si="1"/>
        <v>1</v>
      </c>
      <c r="I21" s="49" t="str">
        <f t="shared" si="2"/>
        <v/>
      </c>
      <c r="J21" s="102"/>
      <c r="K21" s="242" t="s">
        <v>80</v>
      </c>
      <c r="L21" s="49">
        <f t="shared" si="3"/>
        <v>-0.41073981430353718</v>
      </c>
      <c r="M21" s="49">
        <f t="shared" si="4"/>
        <v>-1</v>
      </c>
      <c r="N21" s="50"/>
      <c r="O21" s="50"/>
      <c r="P21" s="51"/>
      <c r="Q21" s="51"/>
    </row>
    <row r="22" spans="1:17" s="52" customFormat="1" ht="15.6" customHeight="1" x14ac:dyDescent="0.3">
      <c r="A22" s="242" t="str">
        <f>'1A-Bilant'!A94</f>
        <v>TOTAL CAPITALURI SI DATORII</v>
      </c>
      <c r="B22" s="47">
        <f>B11+B16+B20</f>
        <v>1780217</v>
      </c>
      <c r="C22" s="47">
        <f>C11+C16+C20</f>
        <v>1049011</v>
      </c>
      <c r="D22" s="47">
        <f>D11+D16+D20</f>
        <v>0</v>
      </c>
      <c r="E22" s="102"/>
      <c r="F22" s="242" t="s">
        <v>81</v>
      </c>
      <c r="G22" s="48">
        <f t="shared" si="0"/>
        <v>1</v>
      </c>
      <c r="H22" s="49">
        <f t="shared" si="1"/>
        <v>1</v>
      </c>
      <c r="I22" s="49" t="str">
        <f t="shared" si="2"/>
        <v/>
      </c>
      <c r="J22" s="102"/>
      <c r="K22" s="242" t="s">
        <v>81</v>
      </c>
      <c r="L22" s="49">
        <f t="shared" si="3"/>
        <v>-0.41073981430353718</v>
      </c>
      <c r="M22" s="49">
        <f t="shared" si="4"/>
        <v>-1</v>
      </c>
      <c r="N22" s="50"/>
      <c r="O22" s="50"/>
      <c r="P22" s="51"/>
      <c r="Q22" s="51"/>
    </row>
    <row r="23" spans="1:17" s="52" customFormat="1" ht="15.6" customHeight="1" x14ac:dyDescent="0.3">
      <c r="A23" s="102"/>
      <c r="B23" s="55"/>
      <c r="C23" s="55"/>
      <c r="D23" s="55"/>
      <c r="E23" s="102"/>
      <c r="F23" s="102"/>
      <c r="G23" s="56"/>
      <c r="H23" s="56"/>
      <c r="I23" s="56"/>
      <c r="J23" s="102"/>
      <c r="K23" s="102"/>
      <c r="L23" s="56"/>
      <c r="M23" s="56"/>
      <c r="N23" s="50"/>
      <c r="O23" s="50"/>
      <c r="P23" s="51"/>
      <c r="Q23" s="51"/>
    </row>
    <row r="24" spans="1:17" s="247" customFormat="1" ht="24" customHeight="1" x14ac:dyDescent="0.3">
      <c r="A24" s="242" t="s">
        <v>157</v>
      </c>
      <c r="B24" s="243">
        <f>'1A-Bilant'!B5</f>
        <v>2018</v>
      </c>
      <c r="C24" s="243">
        <f>'1A-Bilant'!C5</f>
        <v>2019</v>
      </c>
      <c r="D24" s="243" t="str">
        <f>'1A-Bilant'!D5</f>
        <v>AN</v>
      </c>
      <c r="E24" s="244"/>
      <c r="F24" s="242" t="s">
        <v>158</v>
      </c>
      <c r="G24" s="243">
        <f>'1A-Bilant'!B5</f>
        <v>2018</v>
      </c>
      <c r="H24" s="243">
        <f>'1A-Bilant'!C5</f>
        <v>2019</v>
      </c>
      <c r="I24" s="243" t="str">
        <f>'1A-Bilant'!D5</f>
        <v>AN</v>
      </c>
      <c r="J24" s="244"/>
      <c r="K24" s="242" t="s">
        <v>139</v>
      </c>
      <c r="L24" s="243">
        <f>'1A-Bilant'!C5</f>
        <v>2019</v>
      </c>
      <c r="M24" s="243" t="str">
        <f>'1A-Bilant'!D5</f>
        <v>AN</v>
      </c>
      <c r="N24" s="245"/>
      <c r="O24" s="245"/>
      <c r="P24" s="246"/>
      <c r="Q24" s="246"/>
    </row>
    <row r="25" spans="1:17" s="52" customFormat="1" ht="15.6" customHeight="1" x14ac:dyDescent="0.3">
      <c r="A25" s="242" t="str">
        <f>'1B-ContPP'!A6</f>
        <v>Cifra de afaceri neta</v>
      </c>
      <c r="B25" s="47">
        <f>'1B-ContPP'!B6</f>
        <v>3530610</v>
      </c>
      <c r="C25" s="47">
        <f>'1B-ContPP'!C6</f>
        <v>3492502</v>
      </c>
      <c r="D25" s="47">
        <f>'1B-ContPP'!D6</f>
        <v>0</v>
      </c>
      <c r="E25" s="102"/>
      <c r="F25" s="242" t="s">
        <v>84</v>
      </c>
      <c r="G25" s="49">
        <f t="shared" ref="G25:G50" si="5">IFERROR(B25/B$25,"")</f>
        <v>1</v>
      </c>
      <c r="H25" s="49">
        <f t="shared" ref="H25:H50" si="6">IFERROR(C25/C$25,"")</f>
        <v>1</v>
      </c>
      <c r="I25" s="49" t="str">
        <f t="shared" ref="I25:I50" si="7">IFERROR(D25/D$25,"")</f>
        <v/>
      </c>
      <c r="J25" s="102"/>
      <c r="K25" s="242" t="s">
        <v>84</v>
      </c>
      <c r="L25" s="49">
        <f t="shared" ref="L25:M30" si="8">IFERROR((C25-B25)/B25,"")</f>
        <v>-1.0793602238706625E-2</v>
      </c>
      <c r="M25" s="49">
        <f t="shared" si="8"/>
        <v>-1</v>
      </c>
      <c r="N25" s="50"/>
      <c r="O25" s="50"/>
      <c r="P25" s="51"/>
      <c r="Q25" s="51"/>
    </row>
    <row r="26" spans="1:17" s="247" customFormat="1" ht="15.6" customHeight="1" x14ac:dyDescent="0.3">
      <c r="A26" s="53" t="str">
        <f>'1B-ContPP'!A12</f>
        <v>Alte venituri din exploatare</v>
      </c>
      <c r="B26" s="54">
        <f>'1B-ContPP'!B12</f>
        <v>18220</v>
      </c>
      <c r="C26" s="54">
        <f>'1B-ContPP'!C12</f>
        <v>8600</v>
      </c>
      <c r="D26" s="54">
        <f>'1B-ContPP'!D12</f>
        <v>0</v>
      </c>
      <c r="E26" s="244"/>
      <c r="F26" s="53" t="s">
        <v>90</v>
      </c>
      <c r="G26" s="48">
        <f t="shared" si="5"/>
        <v>5.1605813159765592E-3</v>
      </c>
      <c r="H26" s="48">
        <f t="shared" si="6"/>
        <v>2.4624180601757707E-3</v>
      </c>
      <c r="I26" s="48" t="str">
        <f t="shared" si="7"/>
        <v/>
      </c>
      <c r="J26" s="244"/>
      <c r="K26" s="53" t="s">
        <v>90</v>
      </c>
      <c r="L26" s="48">
        <f t="shared" si="8"/>
        <v>-0.52799121844127328</v>
      </c>
      <c r="M26" s="48">
        <f t="shared" si="8"/>
        <v>-1</v>
      </c>
      <c r="N26" s="245"/>
      <c r="O26" s="245"/>
      <c r="P26" s="246"/>
      <c r="Q26" s="246"/>
    </row>
    <row r="27" spans="1:17" s="52" customFormat="1" ht="15.6" customHeight="1" x14ac:dyDescent="0.3">
      <c r="A27" s="242" t="str">
        <f>'1B-ContPP'!A13</f>
        <v>Venituri din exploatare - total</v>
      </c>
      <c r="B27" s="47">
        <f>'1B-ContPP'!B13</f>
        <v>3548830</v>
      </c>
      <c r="C27" s="47">
        <f>'1B-ContPP'!C13</f>
        <v>3501102</v>
      </c>
      <c r="D27" s="47">
        <f>'1B-ContPP'!D13</f>
        <v>0</v>
      </c>
      <c r="E27" s="102"/>
      <c r="F27" s="242" t="s">
        <v>91</v>
      </c>
      <c r="G27" s="49">
        <f t="shared" si="5"/>
        <v>1.0051605813159765</v>
      </c>
      <c r="H27" s="49">
        <f t="shared" si="6"/>
        <v>1.0024624180601758</v>
      </c>
      <c r="I27" s="49" t="str">
        <f t="shared" si="7"/>
        <v/>
      </c>
      <c r="J27" s="102"/>
      <c r="K27" s="242" t="s">
        <v>91</v>
      </c>
      <c r="L27" s="49">
        <f t="shared" si="8"/>
        <v>-1.3448939509641206E-2</v>
      </c>
      <c r="M27" s="49">
        <f t="shared" si="8"/>
        <v>-1</v>
      </c>
      <c r="N27" s="50"/>
      <c r="O27" s="50"/>
      <c r="P27" s="51"/>
      <c r="Q27" s="51"/>
    </row>
    <row r="28" spans="1:17" s="247" customFormat="1" ht="15.6" customHeight="1" x14ac:dyDescent="0.3">
      <c r="A28" s="57" t="s">
        <v>159</v>
      </c>
      <c r="B28" s="54">
        <f>SUM('1B-ContPP'!B14:B19)+'1B-ContPP'!B22</f>
        <v>2865582</v>
      </c>
      <c r="C28" s="54">
        <f>SUM('1B-ContPP'!C14:C19)+'1B-ContPP'!C22</f>
        <v>3153560</v>
      </c>
      <c r="D28" s="54">
        <f>SUM('1B-ContPP'!D14:D19)+'1B-ContPP'!D22</f>
        <v>0</v>
      </c>
      <c r="E28" s="244"/>
      <c r="F28" s="53" t="s">
        <v>159</v>
      </c>
      <c r="G28" s="48">
        <f t="shared" si="5"/>
        <v>0.81163934844120422</v>
      </c>
      <c r="H28" s="48">
        <f t="shared" si="6"/>
        <v>0.90295152300557024</v>
      </c>
      <c r="I28" s="48" t="str">
        <f t="shared" si="7"/>
        <v/>
      </c>
      <c r="J28" s="244"/>
      <c r="K28" s="53" t="s">
        <v>159</v>
      </c>
      <c r="L28" s="48">
        <f t="shared" si="8"/>
        <v>0.10049546654047939</v>
      </c>
      <c r="M28" s="48">
        <f t="shared" si="8"/>
        <v>-1</v>
      </c>
      <c r="N28" s="245"/>
      <c r="O28" s="245"/>
      <c r="P28" s="246"/>
      <c r="Q28" s="246"/>
    </row>
    <row r="29" spans="1:17" s="61" customFormat="1" ht="36" customHeight="1" x14ac:dyDescent="0.3">
      <c r="A29" s="53" t="s">
        <v>160</v>
      </c>
      <c r="B29" s="54">
        <f>'1B-ContPP'!B20+'1B-ContPP'!B21+'1B-ContPP'!B23</f>
        <v>147287</v>
      </c>
      <c r="C29" s="54">
        <f>'1B-ContPP'!C20+'1B-ContPP'!C21+'1B-ContPP'!C23</f>
        <v>203787</v>
      </c>
      <c r="D29" s="54">
        <f>'1B-ContPP'!D20+'1B-ContPP'!D21+'1B-ContPP'!D23</f>
        <v>0</v>
      </c>
      <c r="E29" s="58"/>
      <c r="F29" s="53" t="s">
        <v>160</v>
      </c>
      <c r="G29" s="48">
        <f t="shared" si="5"/>
        <v>4.1717153692987896E-2</v>
      </c>
      <c r="H29" s="48">
        <f t="shared" si="6"/>
        <v>5.8349859212679045E-2</v>
      </c>
      <c r="I29" s="48" t="str">
        <f t="shared" si="7"/>
        <v/>
      </c>
      <c r="J29" s="244"/>
      <c r="K29" s="53" t="s">
        <v>160</v>
      </c>
      <c r="L29" s="48">
        <f t="shared" si="8"/>
        <v>0.38360479879419096</v>
      </c>
      <c r="M29" s="48">
        <f t="shared" si="8"/>
        <v>-1</v>
      </c>
      <c r="N29" s="59"/>
      <c r="O29" s="59"/>
      <c r="P29" s="60"/>
      <c r="Q29" s="60"/>
    </row>
    <row r="30" spans="1:17" s="52" customFormat="1" ht="15.6" customHeight="1" x14ac:dyDescent="0.3">
      <c r="A30" s="242" t="str">
        <f>'1B-ContPP'!A24</f>
        <v>Cheltuieli din exploatare - total</v>
      </c>
      <c r="B30" s="47">
        <f>'1B-ContPP'!B24</f>
        <v>3012869</v>
      </c>
      <c r="C30" s="47">
        <f>'1B-ContPP'!C24</f>
        <v>3364421</v>
      </c>
      <c r="D30" s="47">
        <f>'1B-ContPP'!D24</f>
        <v>0</v>
      </c>
      <c r="E30" s="102"/>
      <c r="F30" s="242" t="s">
        <v>102</v>
      </c>
      <c r="G30" s="49">
        <f t="shared" si="5"/>
        <v>0.85335650213419212</v>
      </c>
      <c r="H30" s="49">
        <f t="shared" si="6"/>
        <v>0.96332686423658453</v>
      </c>
      <c r="I30" s="49" t="str">
        <f t="shared" si="7"/>
        <v/>
      </c>
      <c r="J30" s="102"/>
      <c r="K30" s="242" t="s">
        <v>102</v>
      </c>
      <c r="L30" s="49">
        <f t="shared" si="8"/>
        <v>0.11668346682182332</v>
      </c>
      <c r="M30" s="49">
        <f t="shared" si="8"/>
        <v>-1</v>
      </c>
      <c r="N30" s="50"/>
      <c r="O30" s="50"/>
      <c r="P30" s="51"/>
      <c r="Q30" s="51"/>
    </row>
    <row r="31" spans="1:17" s="247" customFormat="1" ht="15.6" customHeight="1" x14ac:dyDescent="0.3">
      <c r="A31" s="242" t="str">
        <f>'1B-ContPP'!A25</f>
        <v>Rezultatul din exploatare</v>
      </c>
      <c r="B31" s="47">
        <f>'1B-ContPP'!B25</f>
        <v>535961</v>
      </c>
      <c r="C31" s="47">
        <f>'1B-ContPP'!C25</f>
        <v>136681</v>
      </c>
      <c r="D31" s="47">
        <f>'1B-ContPP'!D25</f>
        <v>0</v>
      </c>
      <c r="E31" s="244"/>
      <c r="F31" s="242" t="s">
        <v>103</v>
      </c>
      <c r="G31" s="49">
        <f t="shared" si="5"/>
        <v>0.15180407918178446</v>
      </c>
      <c r="H31" s="49">
        <f t="shared" si="6"/>
        <v>3.9135553823591226E-2</v>
      </c>
      <c r="I31" s="49" t="str">
        <f t="shared" si="7"/>
        <v/>
      </c>
      <c r="J31" s="102"/>
      <c r="K31" s="242" t="s">
        <v>103</v>
      </c>
      <c r="L31" s="49">
        <f>IF(C31&gt;0,ABS((C31-B31)/B31),0)</f>
        <v>0.74497957873800524</v>
      </c>
      <c r="M31" s="49">
        <f>IF(D31&gt;0,ABS((D31-C31)/C31),0)</f>
        <v>0</v>
      </c>
      <c r="N31" s="245"/>
      <c r="O31" s="245"/>
      <c r="P31" s="246"/>
      <c r="Q31" s="246"/>
    </row>
    <row r="32" spans="1:17" s="247" customFormat="1" ht="15.6" customHeight="1" x14ac:dyDescent="0.3">
      <c r="A32" s="242" t="str">
        <f>'1B-ContPP'!A32</f>
        <v>Venituri financiare</v>
      </c>
      <c r="B32" s="47">
        <f>'1B-ContPP'!B32</f>
        <v>19452</v>
      </c>
      <c r="C32" s="47">
        <f>'1B-ContPP'!C32</f>
        <v>9963</v>
      </c>
      <c r="D32" s="47">
        <f>'1B-ContPP'!D32</f>
        <v>0</v>
      </c>
      <c r="E32" s="244"/>
      <c r="F32" s="242" t="s">
        <v>110</v>
      </c>
      <c r="G32" s="49">
        <f t="shared" si="5"/>
        <v>5.5095295147297493E-3</v>
      </c>
      <c r="H32" s="49">
        <f t="shared" si="6"/>
        <v>2.8526826899454888E-3</v>
      </c>
      <c r="I32" s="49" t="str">
        <f t="shared" si="7"/>
        <v/>
      </c>
      <c r="J32" s="102"/>
      <c r="K32" s="242" t="s">
        <v>110</v>
      </c>
      <c r="L32" s="49">
        <f t="shared" ref="L32:L50" si="9">IFERROR((C32-B32)/B32,"")</f>
        <v>-0.48781616286243062</v>
      </c>
      <c r="M32" s="49">
        <f t="shared" ref="M32:M50" si="10">IFERROR((D32-C32)/C32,"")</f>
        <v>-1</v>
      </c>
      <c r="N32" s="245"/>
      <c r="O32" s="245"/>
      <c r="P32" s="246"/>
      <c r="Q32" s="246"/>
    </row>
    <row r="33" spans="1:17" s="247" customFormat="1" ht="48" customHeight="1" x14ac:dyDescent="0.3">
      <c r="A33" s="53" t="str">
        <f>'1B-ContPP'!A33</f>
        <v>Ajustări de valoare privind imobilizările financiare şi investiţiile financiare deţinute ca active circulante</v>
      </c>
      <c r="B33" s="54">
        <f>'1B-ContPP'!B33</f>
        <v>0</v>
      </c>
      <c r="C33" s="54">
        <f>'1B-ContPP'!C33</f>
        <v>0</v>
      </c>
      <c r="D33" s="54">
        <f>'1B-ContPP'!D33</f>
        <v>0</v>
      </c>
      <c r="E33" s="244"/>
      <c r="F33" s="53" t="s">
        <v>111</v>
      </c>
      <c r="G33" s="48">
        <f t="shared" si="5"/>
        <v>0</v>
      </c>
      <c r="H33" s="48">
        <f t="shared" si="6"/>
        <v>0</v>
      </c>
      <c r="I33" s="48" t="str">
        <f t="shared" si="7"/>
        <v/>
      </c>
      <c r="J33" s="244"/>
      <c r="K33" s="53" t="s">
        <v>111</v>
      </c>
      <c r="L33" s="48" t="str">
        <f t="shared" si="9"/>
        <v/>
      </c>
      <c r="M33" s="48" t="str">
        <f t="shared" si="10"/>
        <v/>
      </c>
      <c r="N33" s="245"/>
      <c r="O33" s="245"/>
      <c r="P33" s="246"/>
      <c r="Q33" s="246"/>
    </row>
    <row r="34" spans="1:17" s="247" customFormat="1" ht="15.6" customHeight="1" x14ac:dyDescent="0.3">
      <c r="A34" s="53" t="str">
        <f>'1B-ContPP'!A34</f>
        <v xml:space="preserve">Cheltuieli privind dobânzile </v>
      </c>
      <c r="B34" s="54">
        <f>'1B-ContPP'!B34</f>
        <v>29166</v>
      </c>
      <c r="C34" s="54">
        <f>'1B-ContPP'!C34</f>
        <v>39758</v>
      </c>
      <c r="D34" s="54">
        <f>'1B-ContPP'!D34</f>
        <v>0</v>
      </c>
      <c r="E34" s="244"/>
      <c r="F34" s="53" t="s">
        <v>112</v>
      </c>
      <c r="G34" s="48">
        <f t="shared" si="5"/>
        <v>8.2608954260028726E-3</v>
      </c>
      <c r="H34" s="48">
        <f t="shared" si="6"/>
        <v>1.1383815957728872E-2</v>
      </c>
      <c r="I34" s="48" t="str">
        <f t="shared" si="7"/>
        <v/>
      </c>
      <c r="J34" s="244"/>
      <c r="K34" s="53" t="s">
        <v>112</v>
      </c>
      <c r="L34" s="48">
        <f t="shared" si="9"/>
        <v>0.36316258657340739</v>
      </c>
      <c r="M34" s="48">
        <f t="shared" si="10"/>
        <v>-1</v>
      </c>
      <c r="N34" s="245"/>
      <c r="O34" s="245"/>
      <c r="P34" s="246"/>
      <c r="Q34" s="246"/>
    </row>
    <row r="35" spans="1:17" s="247" customFormat="1" ht="15.6" customHeight="1" x14ac:dyDescent="0.3">
      <c r="A35" s="53" t="str">
        <f>'1B-ContPP'!A35</f>
        <v xml:space="preserve">Alte cheltuieli financiare  </v>
      </c>
      <c r="B35" s="54">
        <f>'1B-ContPP'!B35</f>
        <v>-767</v>
      </c>
      <c r="C35" s="54">
        <f>'1B-ContPP'!C35</f>
        <v>3822</v>
      </c>
      <c r="D35" s="54">
        <f>'1B-ContPP'!D35</f>
        <v>0</v>
      </c>
      <c r="E35" s="244"/>
      <c r="F35" s="53" t="s">
        <v>113</v>
      </c>
      <c r="G35" s="48">
        <f t="shared" si="5"/>
        <v>-2.1724291269780577E-4</v>
      </c>
      <c r="H35" s="48">
        <f t="shared" si="6"/>
        <v>1.0943443983711392E-3</v>
      </c>
      <c r="I35" s="48" t="str">
        <f t="shared" si="7"/>
        <v/>
      </c>
      <c r="J35" s="244"/>
      <c r="K35" s="53" t="s">
        <v>113</v>
      </c>
      <c r="L35" s="48">
        <f t="shared" si="9"/>
        <v>-5.9830508474576272</v>
      </c>
      <c r="M35" s="48">
        <f t="shared" si="10"/>
        <v>-1</v>
      </c>
      <c r="N35" s="245"/>
      <c r="O35" s="245"/>
      <c r="P35" s="246"/>
      <c r="Q35" s="246"/>
    </row>
    <row r="36" spans="1:17" s="52" customFormat="1" ht="15.6" customHeight="1" x14ac:dyDescent="0.3">
      <c r="A36" s="242" t="str">
        <f>'1B-ContPP'!A36</f>
        <v>Cheltuieli financiare</v>
      </c>
      <c r="B36" s="47">
        <f>'1B-ContPP'!B36</f>
        <v>28399</v>
      </c>
      <c r="C36" s="47">
        <f>'1B-ContPP'!C36</f>
        <v>43580</v>
      </c>
      <c r="D36" s="47">
        <f>'1B-ContPP'!D36</f>
        <v>0</v>
      </c>
      <c r="E36" s="102"/>
      <c r="F36" s="242" t="s">
        <v>114</v>
      </c>
      <c r="G36" s="49">
        <f t="shared" si="5"/>
        <v>8.0436525133050669E-3</v>
      </c>
      <c r="H36" s="49">
        <f t="shared" si="6"/>
        <v>1.2478160356100011E-2</v>
      </c>
      <c r="I36" s="49" t="str">
        <f t="shared" si="7"/>
        <v/>
      </c>
      <c r="J36" s="102"/>
      <c r="K36" s="242" t="s">
        <v>114</v>
      </c>
      <c r="L36" s="49">
        <f t="shared" si="9"/>
        <v>0.53456107609422865</v>
      </c>
      <c r="M36" s="49">
        <f t="shared" si="10"/>
        <v>-1</v>
      </c>
      <c r="N36" s="50"/>
      <c r="O36" s="50"/>
      <c r="P36" s="51"/>
      <c r="Q36" s="51"/>
    </row>
    <row r="37" spans="1:17" s="247" customFormat="1" ht="15.6" customHeight="1" x14ac:dyDescent="0.3">
      <c r="A37" s="53" t="str">
        <f>'1B-ContPP'!A37</f>
        <v>Rezultatul financiar</v>
      </c>
      <c r="B37" s="54">
        <f>'1B-ContPP'!B37</f>
        <v>-8947</v>
      </c>
      <c r="C37" s="54">
        <f>'1B-ContPP'!C37</f>
        <v>-33617</v>
      </c>
      <c r="D37" s="54">
        <f>'1B-ContPP'!D37</f>
        <v>0</v>
      </c>
      <c r="E37" s="244"/>
      <c r="F37" s="53" t="s">
        <v>115</v>
      </c>
      <c r="G37" s="48">
        <f t="shared" si="5"/>
        <v>-2.5341229985753168E-3</v>
      </c>
      <c r="H37" s="48">
        <f t="shared" si="6"/>
        <v>-9.6254776661545225E-3</v>
      </c>
      <c r="I37" s="48" t="str">
        <f t="shared" si="7"/>
        <v/>
      </c>
      <c r="J37" s="244"/>
      <c r="K37" s="53" t="s">
        <v>115</v>
      </c>
      <c r="L37" s="48">
        <f t="shared" si="9"/>
        <v>2.75734883201073</v>
      </c>
      <c r="M37" s="48">
        <f t="shared" si="10"/>
        <v>-1</v>
      </c>
      <c r="N37" s="245"/>
      <c r="O37" s="245"/>
      <c r="P37" s="246"/>
      <c r="Q37" s="246"/>
    </row>
    <row r="38" spans="1:17" s="52" customFormat="1" ht="15.6" customHeight="1" x14ac:dyDescent="0.3">
      <c r="A38" s="242" t="str">
        <f>'1B-ContPP'!A40</f>
        <v>Rezultatul curent</v>
      </c>
      <c r="B38" s="47">
        <f>'1B-ContPP'!B40</f>
        <v>527014</v>
      </c>
      <c r="C38" s="47">
        <f>'1B-ContPP'!C40</f>
        <v>103064</v>
      </c>
      <c r="D38" s="47">
        <f>'1B-ContPP'!D40</f>
        <v>0</v>
      </c>
      <c r="E38" s="102"/>
      <c r="F38" s="242" t="s">
        <v>118</v>
      </c>
      <c r="G38" s="49">
        <f t="shared" si="5"/>
        <v>0.14926995618320912</v>
      </c>
      <c r="H38" s="49">
        <f t="shared" si="6"/>
        <v>2.9510076157436702E-2</v>
      </c>
      <c r="I38" s="49" t="str">
        <f t="shared" si="7"/>
        <v/>
      </c>
      <c r="J38" s="102"/>
      <c r="K38" s="242" t="s">
        <v>118</v>
      </c>
      <c r="L38" s="49">
        <f t="shared" si="9"/>
        <v>-0.80443783277104597</v>
      </c>
      <c r="M38" s="49">
        <f t="shared" si="10"/>
        <v>-1</v>
      </c>
      <c r="N38" s="50"/>
      <c r="O38" s="50"/>
      <c r="P38" s="51"/>
      <c r="Q38" s="51"/>
    </row>
    <row r="39" spans="1:17" s="52" customFormat="1" ht="15.6" customHeight="1" x14ac:dyDescent="0.3">
      <c r="A39" s="242" t="str">
        <f>'1B-ContPP'!A43</f>
        <v>Venituri extraordinare</v>
      </c>
      <c r="B39" s="47">
        <f>'1B-ContPP'!B43</f>
        <v>0</v>
      </c>
      <c r="C39" s="47">
        <f>'1B-ContPP'!C43</f>
        <v>0</v>
      </c>
      <c r="D39" s="47">
        <f>'1B-ContPP'!D43</f>
        <v>0</v>
      </c>
      <c r="E39" s="102"/>
      <c r="F39" s="242" t="s">
        <v>121</v>
      </c>
      <c r="G39" s="49">
        <f t="shared" si="5"/>
        <v>0</v>
      </c>
      <c r="H39" s="49">
        <f t="shared" si="6"/>
        <v>0</v>
      </c>
      <c r="I39" s="49" t="str">
        <f t="shared" si="7"/>
        <v/>
      </c>
      <c r="J39" s="102"/>
      <c r="K39" s="242" t="s">
        <v>121</v>
      </c>
      <c r="L39" s="49" t="str">
        <f t="shared" si="9"/>
        <v/>
      </c>
      <c r="M39" s="49" t="str">
        <f t="shared" si="10"/>
        <v/>
      </c>
      <c r="N39" s="50"/>
      <c r="O39" s="50"/>
      <c r="P39" s="51"/>
      <c r="Q39" s="51"/>
    </row>
    <row r="40" spans="1:17" s="52" customFormat="1" ht="15.6" customHeight="1" x14ac:dyDescent="0.3">
      <c r="A40" s="242" t="str">
        <f>'1B-ContPP'!A44</f>
        <v>Cheltuieli extraordinare</v>
      </c>
      <c r="B40" s="47">
        <f>'1B-ContPP'!B44</f>
        <v>0</v>
      </c>
      <c r="C40" s="47">
        <f>'1B-ContPP'!C44</f>
        <v>0</v>
      </c>
      <c r="D40" s="47">
        <f>'1B-ContPP'!D44</f>
        <v>0</v>
      </c>
      <c r="E40" s="102"/>
      <c r="F40" s="242" t="s">
        <v>122</v>
      </c>
      <c r="G40" s="49">
        <f t="shared" si="5"/>
        <v>0</v>
      </c>
      <c r="H40" s="49">
        <f t="shared" si="6"/>
        <v>0</v>
      </c>
      <c r="I40" s="49" t="str">
        <f t="shared" si="7"/>
        <v/>
      </c>
      <c r="J40" s="102"/>
      <c r="K40" s="242" t="s">
        <v>122</v>
      </c>
      <c r="L40" s="49" t="str">
        <f t="shared" si="9"/>
        <v/>
      </c>
      <c r="M40" s="49" t="str">
        <f t="shared" si="10"/>
        <v/>
      </c>
      <c r="N40" s="50"/>
      <c r="O40" s="50"/>
      <c r="P40" s="51"/>
      <c r="Q40" s="51"/>
    </row>
    <row r="41" spans="1:17" s="52" customFormat="1" ht="15.6" customHeight="1" x14ac:dyDescent="0.3">
      <c r="A41" s="242" t="str">
        <f>'1B-ContPP'!A45</f>
        <v>Rezultatul extraordinar</v>
      </c>
      <c r="B41" s="47">
        <f>'1B-ContPP'!B45</f>
        <v>0</v>
      </c>
      <c r="C41" s="47">
        <f>'1B-ContPP'!C45</f>
        <v>0</v>
      </c>
      <c r="D41" s="47">
        <f>'1B-ContPP'!D45</f>
        <v>0</v>
      </c>
      <c r="E41" s="102"/>
      <c r="F41" s="242" t="s">
        <v>123</v>
      </c>
      <c r="G41" s="49">
        <f t="shared" si="5"/>
        <v>0</v>
      </c>
      <c r="H41" s="49">
        <f t="shared" si="6"/>
        <v>0</v>
      </c>
      <c r="I41" s="49" t="str">
        <f t="shared" si="7"/>
        <v/>
      </c>
      <c r="J41" s="102"/>
      <c r="K41" s="242" t="s">
        <v>123</v>
      </c>
      <c r="L41" s="49" t="str">
        <f t="shared" si="9"/>
        <v/>
      </c>
      <c r="M41" s="49" t="str">
        <f t="shared" si="10"/>
        <v/>
      </c>
      <c r="N41" s="50"/>
      <c r="O41" s="50"/>
      <c r="P41" s="51"/>
      <c r="Q41" s="51"/>
    </row>
    <row r="42" spans="1:17" s="52" customFormat="1" ht="15.6" customHeight="1" x14ac:dyDescent="0.3">
      <c r="A42" s="242" t="str">
        <f>'1B-ContPP'!A48</f>
        <v>Venituri totale</v>
      </c>
      <c r="B42" s="47">
        <f>'1B-ContPP'!B48</f>
        <v>3568282</v>
      </c>
      <c r="C42" s="47">
        <f>'1B-ContPP'!C48</f>
        <v>3511065</v>
      </c>
      <c r="D42" s="47">
        <f>'1B-ContPP'!D48</f>
        <v>0</v>
      </c>
      <c r="E42" s="102"/>
      <c r="F42" s="242" t="s">
        <v>126</v>
      </c>
      <c r="G42" s="49">
        <f t="shared" si="5"/>
        <v>1.0106701108307063</v>
      </c>
      <c r="H42" s="49">
        <f t="shared" si="6"/>
        <v>1.0053151007501213</v>
      </c>
      <c r="I42" s="49" t="str">
        <f t="shared" si="7"/>
        <v/>
      </c>
      <c r="J42" s="102"/>
      <c r="K42" s="242" t="s">
        <v>126</v>
      </c>
      <c r="L42" s="49">
        <f t="shared" si="9"/>
        <v>-1.6034887377174786E-2</v>
      </c>
      <c r="M42" s="49">
        <f t="shared" si="10"/>
        <v>-1</v>
      </c>
      <c r="N42" s="50"/>
      <c r="O42" s="50"/>
      <c r="P42" s="51"/>
      <c r="Q42" s="51"/>
    </row>
    <row r="43" spans="1:17" s="247" customFormat="1" ht="15.6" customHeight="1" x14ac:dyDescent="0.3">
      <c r="A43" s="242" t="str">
        <f>'1B-ContPP'!A49</f>
        <v>Cheltuieli totale</v>
      </c>
      <c r="B43" s="47">
        <f>'1B-ContPP'!B49</f>
        <v>3041268</v>
      </c>
      <c r="C43" s="47">
        <f>'1B-ContPP'!C49</f>
        <v>3408001</v>
      </c>
      <c r="D43" s="47">
        <f>'1B-ContPP'!D49</f>
        <v>0</v>
      </c>
      <c r="E43" s="244"/>
      <c r="F43" s="242" t="s">
        <v>127</v>
      </c>
      <c r="G43" s="49">
        <f t="shared" si="5"/>
        <v>0.8614001546474972</v>
      </c>
      <c r="H43" s="49">
        <f t="shared" si="6"/>
        <v>0.97580502459268459</v>
      </c>
      <c r="I43" s="49" t="str">
        <f t="shared" si="7"/>
        <v/>
      </c>
      <c r="J43" s="102"/>
      <c r="K43" s="242" t="s">
        <v>127</v>
      </c>
      <c r="L43" s="49">
        <f t="shared" si="9"/>
        <v>0.12058555839209172</v>
      </c>
      <c r="M43" s="49">
        <f t="shared" si="10"/>
        <v>-1</v>
      </c>
      <c r="N43" s="245"/>
      <c r="O43" s="245"/>
      <c r="P43" s="246"/>
      <c r="Q43" s="246"/>
    </row>
    <row r="44" spans="1:17" s="52" customFormat="1" ht="15.6" customHeight="1" x14ac:dyDescent="0.3">
      <c r="A44" s="242" t="str">
        <f>'1B-ContPP'!A50</f>
        <v>Rezultatul brut</v>
      </c>
      <c r="B44" s="47">
        <f>'1B-ContPP'!B50</f>
        <v>527014</v>
      </c>
      <c r="C44" s="47">
        <f>'1B-ContPP'!C50</f>
        <v>103064</v>
      </c>
      <c r="D44" s="47">
        <f>'1B-ContPP'!D50</f>
        <v>0</v>
      </c>
      <c r="E44" s="102"/>
      <c r="F44" s="242" t="s">
        <v>128</v>
      </c>
      <c r="G44" s="49">
        <f t="shared" si="5"/>
        <v>0.14926995618320912</v>
      </c>
      <c r="H44" s="49">
        <f t="shared" si="6"/>
        <v>2.9510076157436702E-2</v>
      </c>
      <c r="I44" s="49" t="str">
        <f t="shared" si="7"/>
        <v/>
      </c>
      <c r="J44" s="102"/>
      <c r="K44" s="242" t="s">
        <v>128</v>
      </c>
      <c r="L44" s="49">
        <f t="shared" si="9"/>
        <v>-0.80443783277104597</v>
      </c>
      <c r="M44" s="49">
        <f t="shared" si="10"/>
        <v>-1</v>
      </c>
      <c r="N44" s="50"/>
      <c r="O44" s="50"/>
      <c r="P44" s="51"/>
      <c r="Q44" s="51"/>
    </row>
    <row r="45" spans="1:17" s="247" customFormat="1" ht="15.6" customHeight="1" x14ac:dyDescent="0.3">
      <c r="A45" s="53" t="str">
        <f>'1B-ContPP'!A53</f>
        <v>Impozit pe profit</v>
      </c>
      <c r="B45" s="54">
        <f>'1B-ContPP'!B53</f>
        <v>0</v>
      </c>
      <c r="C45" s="54">
        <f>'1B-ContPP'!C53</f>
        <v>0</v>
      </c>
      <c r="D45" s="54">
        <f>'1B-ContPP'!D53</f>
        <v>0</v>
      </c>
      <c r="E45" s="244"/>
      <c r="F45" s="53" t="s">
        <v>131</v>
      </c>
      <c r="G45" s="48">
        <f t="shared" si="5"/>
        <v>0</v>
      </c>
      <c r="H45" s="48">
        <f t="shared" si="6"/>
        <v>0</v>
      </c>
      <c r="I45" s="48" t="str">
        <f t="shared" si="7"/>
        <v/>
      </c>
      <c r="J45" s="244"/>
      <c r="K45" s="53" t="s">
        <v>131</v>
      </c>
      <c r="L45" s="48" t="str">
        <f t="shared" si="9"/>
        <v/>
      </c>
      <c r="M45" s="48" t="str">
        <f t="shared" si="10"/>
        <v/>
      </c>
      <c r="N45" s="245"/>
      <c r="O45" s="245"/>
      <c r="P45" s="246"/>
      <c r="Q45" s="246"/>
    </row>
    <row r="46" spans="1:17" s="247" customFormat="1" ht="24" customHeight="1" x14ac:dyDescent="0.3">
      <c r="A46" s="53" t="str">
        <f>'1B-ContPP'!A54</f>
        <v>Alte impozite neprezentate la elementele de mai sus</v>
      </c>
      <c r="B46" s="54">
        <f>'1B-ContPP'!B54</f>
        <v>35683</v>
      </c>
      <c r="C46" s="54">
        <f>'1B-ContPP'!C54</f>
        <v>34954</v>
      </c>
      <c r="D46" s="54">
        <f>'1B-ContPP'!D54</f>
        <v>0</v>
      </c>
      <c r="E46" s="244"/>
      <c r="F46" s="53" t="str">
        <f>$A$46</f>
        <v>Alte impozite neprezentate la elementele de mai sus</v>
      </c>
      <c r="G46" s="48">
        <f t="shared" si="5"/>
        <v>1.010675209099844E-2</v>
      </c>
      <c r="H46" s="48">
        <f t="shared" si="6"/>
        <v>1.0008297776207429E-2</v>
      </c>
      <c r="I46" s="48" t="str">
        <f t="shared" si="7"/>
        <v/>
      </c>
      <c r="J46" s="244"/>
      <c r="K46" s="53" t="str">
        <f>F46</f>
        <v>Alte impozite neprezentate la elementele de mai sus</v>
      </c>
      <c r="L46" s="48">
        <f t="shared" si="9"/>
        <v>-2.0429896589412324E-2</v>
      </c>
      <c r="M46" s="48">
        <f t="shared" si="10"/>
        <v>-1</v>
      </c>
      <c r="N46" s="245"/>
      <c r="O46" s="245"/>
      <c r="P46" s="246"/>
      <c r="Q46" s="246"/>
    </row>
    <row r="47" spans="1:17" s="52" customFormat="1" ht="15.6" customHeight="1" x14ac:dyDescent="0.3">
      <c r="A47" s="242" t="str">
        <f>'1B-ContPP'!A55</f>
        <v>Rezultatul net</v>
      </c>
      <c r="B47" s="47">
        <f>'1B-ContPP'!B55</f>
        <v>491331</v>
      </c>
      <c r="C47" s="47">
        <f>'1B-ContPP'!C55</f>
        <v>68110</v>
      </c>
      <c r="D47" s="47">
        <f>'1B-ContPP'!D55</f>
        <v>0</v>
      </c>
      <c r="E47" s="102"/>
      <c r="F47" s="242" t="s">
        <v>133</v>
      </c>
      <c r="G47" s="49">
        <f t="shared" si="5"/>
        <v>0.1391632040922107</v>
      </c>
      <c r="H47" s="49">
        <f t="shared" si="6"/>
        <v>1.9501778381229275E-2</v>
      </c>
      <c r="I47" s="49" t="str">
        <f t="shared" si="7"/>
        <v/>
      </c>
      <c r="J47" s="102"/>
      <c r="K47" s="242" t="s">
        <v>133</v>
      </c>
      <c r="L47" s="49">
        <f t="shared" si="9"/>
        <v>-0.86137654656433238</v>
      </c>
      <c r="M47" s="49">
        <f t="shared" si="10"/>
        <v>-1</v>
      </c>
      <c r="N47" s="50"/>
      <c r="O47" s="50"/>
      <c r="P47" s="51"/>
      <c r="Q47" s="51"/>
    </row>
    <row r="48" spans="1:17" s="52" customFormat="1" ht="15.6" customHeight="1" x14ac:dyDescent="0.3">
      <c r="A48" s="242" t="s">
        <v>161</v>
      </c>
      <c r="B48" s="47">
        <f>B47+B45+B46</f>
        <v>527014</v>
      </c>
      <c r="C48" s="47">
        <f>C47+C45+C46</f>
        <v>103064</v>
      </c>
      <c r="D48" s="47">
        <f>D47+D45+D46</f>
        <v>0</v>
      </c>
      <c r="E48" s="102"/>
      <c r="F48" s="242" t="s">
        <v>161</v>
      </c>
      <c r="G48" s="49">
        <f t="shared" si="5"/>
        <v>0.14926995618320912</v>
      </c>
      <c r="H48" s="49">
        <f t="shared" si="6"/>
        <v>2.9510076157436702E-2</v>
      </c>
      <c r="I48" s="49" t="str">
        <f t="shared" si="7"/>
        <v/>
      </c>
      <c r="J48" s="102"/>
      <c r="K48" s="242" t="s">
        <v>161</v>
      </c>
      <c r="L48" s="49">
        <f t="shared" si="9"/>
        <v>-0.80443783277104597</v>
      </c>
      <c r="M48" s="49">
        <f t="shared" si="10"/>
        <v>-1</v>
      </c>
      <c r="N48" s="50"/>
      <c r="O48" s="50"/>
      <c r="P48" s="51"/>
      <c r="Q48" s="51"/>
    </row>
    <row r="49" spans="1:17" s="247" customFormat="1" ht="15.6" customHeight="1" x14ac:dyDescent="0.3">
      <c r="A49" s="242" t="s">
        <v>162</v>
      </c>
      <c r="B49" s="47">
        <f>B48+B34</f>
        <v>556180</v>
      </c>
      <c r="C49" s="47">
        <f>C48+C34</f>
        <v>142822</v>
      </c>
      <c r="D49" s="47">
        <f>D48+D34</f>
        <v>0</v>
      </c>
      <c r="E49" s="244"/>
      <c r="F49" s="242" t="s">
        <v>162</v>
      </c>
      <c r="G49" s="49">
        <f t="shared" si="5"/>
        <v>0.15753085160921201</v>
      </c>
      <c r="H49" s="49">
        <f t="shared" si="6"/>
        <v>4.0893892115165573E-2</v>
      </c>
      <c r="I49" s="49" t="str">
        <f t="shared" si="7"/>
        <v/>
      </c>
      <c r="J49" s="102"/>
      <c r="K49" s="242" t="s">
        <v>162</v>
      </c>
      <c r="L49" s="49">
        <f t="shared" si="9"/>
        <v>-0.74320903304685537</v>
      </c>
      <c r="M49" s="49">
        <f t="shared" si="10"/>
        <v>-1</v>
      </c>
      <c r="N49" s="245"/>
      <c r="O49" s="245"/>
      <c r="P49" s="246"/>
      <c r="Q49" s="246"/>
    </row>
    <row r="50" spans="1:17" s="247" customFormat="1" ht="15.6" customHeight="1" x14ac:dyDescent="0.3">
      <c r="A50" s="242" t="s">
        <v>163</v>
      </c>
      <c r="B50" s="47">
        <f>B49+B33+B29</f>
        <v>703467</v>
      </c>
      <c r="C50" s="47">
        <f>C49+C33+C29</f>
        <v>346609</v>
      </c>
      <c r="D50" s="47">
        <f>D49+D33+D29</f>
        <v>0</v>
      </c>
      <c r="E50" s="244"/>
      <c r="F50" s="242" t="s">
        <v>163</v>
      </c>
      <c r="G50" s="49">
        <f t="shared" si="5"/>
        <v>0.19924800530219991</v>
      </c>
      <c r="H50" s="49">
        <f t="shared" si="6"/>
        <v>9.9243751327844618E-2</v>
      </c>
      <c r="I50" s="49" t="str">
        <f t="shared" si="7"/>
        <v/>
      </c>
      <c r="J50" s="102"/>
      <c r="K50" s="242" t="s">
        <v>163</v>
      </c>
      <c r="L50" s="49">
        <f t="shared" si="9"/>
        <v>-0.5072846345315416</v>
      </c>
      <c r="M50" s="49">
        <f t="shared" si="10"/>
        <v>-1</v>
      </c>
      <c r="N50" s="245"/>
      <c r="O50" s="245"/>
      <c r="P50" s="246"/>
      <c r="Q50" s="246"/>
    </row>
    <row r="51" spans="1:17" s="247" customFormat="1" ht="15.6" customHeight="1" x14ac:dyDescent="0.3">
      <c r="A51" s="244"/>
      <c r="B51" s="97"/>
      <c r="C51" s="97"/>
      <c r="D51" s="97"/>
      <c r="E51" s="244"/>
      <c r="F51" s="244"/>
      <c r="G51" s="62"/>
      <c r="H51" s="62"/>
      <c r="I51" s="62"/>
      <c r="J51" s="244"/>
      <c r="K51" s="244"/>
      <c r="L51" s="62"/>
      <c r="M51" s="62"/>
      <c r="N51" s="245"/>
      <c r="O51" s="245"/>
      <c r="P51" s="246"/>
      <c r="Q51" s="246"/>
    </row>
    <row r="52" spans="1:17" s="247" customFormat="1" ht="15.6" customHeight="1" x14ac:dyDescent="0.3">
      <c r="A52" s="244"/>
      <c r="B52" s="97"/>
      <c r="C52" s="97"/>
      <c r="D52" s="97"/>
      <c r="E52" s="244"/>
      <c r="F52" s="244"/>
      <c r="G52" s="62"/>
      <c r="H52" s="62"/>
      <c r="I52" s="62"/>
      <c r="J52" s="244"/>
      <c r="K52" s="244"/>
      <c r="L52" s="62"/>
      <c r="M52" s="62"/>
      <c r="N52" s="245"/>
      <c r="O52" s="245"/>
      <c r="P52" s="246"/>
      <c r="Q52" s="246"/>
    </row>
    <row r="53" spans="1:17" s="247" customFormat="1" ht="15.6" customHeight="1" x14ac:dyDescent="0.3">
      <c r="A53" s="244"/>
      <c r="B53" s="97"/>
      <c r="C53" s="97"/>
      <c r="D53" s="97"/>
      <c r="E53" s="244"/>
      <c r="F53" s="244"/>
      <c r="G53" s="62"/>
      <c r="H53" s="62"/>
      <c r="I53" s="62"/>
      <c r="J53" s="244"/>
      <c r="K53" s="244"/>
      <c r="L53" s="62"/>
      <c r="M53" s="62"/>
      <c r="N53" s="245"/>
      <c r="O53" s="245"/>
      <c r="P53" s="246"/>
      <c r="Q53" s="246"/>
    </row>
    <row r="54" spans="1:17" s="247" customFormat="1" ht="15.6" customHeight="1" x14ac:dyDescent="0.3">
      <c r="A54" s="244"/>
      <c r="B54" s="97"/>
      <c r="C54" s="97"/>
      <c r="D54" s="97"/>
      <c r="E54" s="244"/>
      <c r="F54" s="244"/>
      <c r="G54" s="62"/>
      <c r="H54" s="62"/>
      <c r="I54" s="62"/>
      <c r="J54" s="244"/>
      <c r="K54" s="244"/>
      <c r="L54" s="62"/>
      <c r="M54" s="62"/>
      <c r="N54" s="245"/>
      <c r="O54" s="245"/>
      <c r="P54" s="246"/>
      <c r="Q54" s="246"/>
    </row>
    <row r="55" spans="1:17" s="247" customFormat="1" ht="15.6" customHeight="1" x14ac:dyDescent="0.3">
      <c r="A55" s="244"/>
      <c r="B55" s="97"/>
      <c r="C55" s="97"/>
      <c r="D55" s="97"/>
      <c r="E55" s="244"/>
      <c r="F55" s="244"/>
      <c r="G55" s="62"/>
      <c r="H55" s="62"/>
      <c r="I55" s="62"/>
      <c r="J55" s="244"/>
      <c r="K55" s="244"/>
      <c r="L55" s="62"/>
      <c r="M55" s="62"/>
      <c r="N55" s="245"/>
      <c r="O55" s="245"/>
      <c r="P55" s="246"/>
      <c r="Q55" s="246"/>
    </row>
    <row r="56" spans="1:17" s="247" customFormat="1" ht="15.6" customHeight="1" x14ac:dyDescent="0.3">
      <c r="A56" s="244"/>
      <c r="B56" s="97"/>
      <c r="C56" s="97"/>
      <c r="D56" s="97"/>
      <c r="E56" s="244"/>
      <c r="F56" s="244"/>
      <c r="G56" s="62"/>
      <c r="H56" s="62"/>
      <c r="I56" s="62"/>
      <c r="J56" s="244"/>
      <c r="K56" s="244"/>
      <c r="L56" s="62"/>
      <c r="M56" s="62"/>
      <c r="N56" s="245"/>
      <c r="O56" s="245"/>
      <c r="P56" s="246"/>
      <c r="Q56" s="246"/>
    </row>
    <row r="57" spans="1:17" s="247" customFormat="1" ht="15.6" customHeight="1" x14ac:dyDescent="0.3">
      <c r="A57" s="244"/>
      <c r="B57" s="97"/>
      <c r="C57" s="97"/>
      <c r="D57" s="97"/>
      <c r="E57" s="244"/>
      <c r="F57" s="244"/>
      <c r="G57" s="62"/>
      <c r="H57" s="62"/>
      <c r="I57" s="62"/>
      <c r="J57" s="244"/>
      <c r="K57" s="244"/>
      <c r="L57" s="62"/>
      <c r="M57" s="62"/>
      <c r="N57" s="245"/>
      <c r="O57" s="245"/>
      <c r="P57" s="246"/>
      <c r="Q57" s="246"/>
    </row>
    <row r="58" spans="1:17" s="247" customFormat="1" ht="15.6" customHeight="1" x14ac:dyDescent="0.3">
      <c r="A58" s="244"/>
      <c r="B58" s="97"/>
      <c r="C58" s="97"/>
      <c r="D58" s="97"/>
      <c r="E58" s="244"/>
      <c r="F58" s="244"/>
      <c r="G58" s="62"/>
      <c r="H58" s="62"/>
      <c r="I58" s="62"/>
      <c r="J58" s="244"/>
      <c r="K58" s="244"/>
      <c r="L58" s="62"/>
      <c r="M58" s="62"/>
      <c r="N58" s="245"/>
      <c r="O58" s="245"/>
      <c r="P58" s="246"/>
      <c r="Q58" s="246"/>
    </row>
    <row r="59" spans="1:17" s="247" customFormat="1" ht="15.6" customHeight="1" x14ac:dyDescent="0.3">
      <c r="A59" s="244"/>
      <c r="B59" s="97"/>
      <c r="C59" s="97"/>
      <c r="D59" s="97"/>
      <c r="E59" s="244"/>
      <c r="F59" s="244"/>
      <c r="G59" s="62"/>
      <c r="H59" s="62"/>
      <c r="I59" s="62"/>
      <c r="J59" s="244"/>
      <c r="K59" s="244"/>
      <c r="L59" s="62"/>
      <c r="M59" s="62"/>
      <c r="N59" s="245"/>
      <c r="O59" s="245"/>
      <c r="P59" s="246"/>
      <c r="Q59" s="246"/>
    </row>
    <row r="60" spans="1:17" s="247" customFormat="1" ht="15.6" customHeight="1" x14ac:dyDescent="0.3">
      <c r="A60" s="244"/>
      <c r="B60" s="97"/>
      <c r="C60" s="97"/>
      <c r="D60" s="97"/>
      <c r="E60" s="244"/>
      <c r="F60" s="244"/>
      <c r="G60" s="62"/>
      <c r="H60" s="62"/>
      <c r="I60" s="62"/>
      <c r="J60" s="244"/>
      <c r="K60" s="244"/>
      <c r="L60" s="62"/>
      <c r="M60" s="62"/>
      <c r="N60" s="245"/>
      <c r="O60" s="245"/>
      <c r="P60" s="246"/>
      <c r="Q60" s="246"/>
    </row>
    <row r="61" spans="1:17" s="247" customFormat="1" ht="15.6" customHeight="1" x14ac:dyDescent="0.3">
      <c r="A61" s="102"/>
      <c r="B61" s="97"/>
      <c r="C61" s="97"/>
      <c r="D61" s="97"/>
      <c r="E61" s="244"/>
      <c r="F61" s="244"/>
      <c r="G61" s="62"/>
      <c r="H61" s="62"/>
      <c r="I61" s="62"/>
      <c r="J61" s="244"/>
      <c r="K61" s="244"/>
      <c r="L61" s="62"/>
      <c r="M61" s="62"/>
      <c r="N61" s="245"/>
      <c r="O61" s="245"/>
      <c r="P61" s="246"/>
      <c r="Q61" s="246"/>
    </row>
    <row r="62" spans="1:17" s="247" customFormat="1" ht="15.6" customHeight="1" x14ac:dyDescent="0.3">
      <c r="A62" s="244"/>
      <c r="B62" s="97"/>
      <c r="C62" s="97"/>
      <c r="D62" s="97"/>
      <c r="E62" s="244"/>
      <c r="F62" s="244"/>
      <c r="G62" s="62"/>
      <c r="H62" s="62"/>
      <c r="I62" s="62"/>
      <c r="J62" s="244"/>
      <c r="K62" s="244"/>
      <c r="L62" s="62"/>
      <c r="M62" s="62"/>
      <c r="N62" s="245"/>
      <c r="O62" s="245"/>
      <c r="P62" s="246"/>
      <c r="Q62" s="246"/>
    </row>
    <row r="63" spans="1:17" s="247" customFormat="1" ht="15.6" customHeight="1" x14ac:dyDescent="0.3">
      <c r="A63" s="244"/>
      <c r="B63" s="97"/>
      <c r="C63" s="97"/>
      <c r="D63" s="97"/>
      <c r="E63" s="244"/>
      <c r="F63" s="244"/>
      <c r="G63" s="62"/>
      <c r="H63" s="62"/>
      <c r="I63" s="62"/>
      <c r="J63" s="244"/>
      <c r="K63" s="244"/>
      <c r="L63" s="62"/>
      <c r="M63" s="62"/>
      <c r="N63" s="245"/>
      <c r="O63" s="245"/>
      <c r="P63" s="246"/>
      <c r="Q63" s="246"/>
    </row>
    <row r="64" spans="1:17" s="247" customFormat="1" ht="15.6" customHeight="1" x14ac:dyDescent="0.3">
      <c r="A64" s="244"/>
      <c r="B64" s="97"/>
      <c r="C64" s="97"/>
      <c r="D64" s="97"/>
      <c r="E64" s="244"/>
      <c r="F64" s="244"/>
      <c r="G64" s="62"/>
      <c r="H64" s="62"/>
      <c r="I64" s="62"/>
      <c r="J64" s="244"/>
      <c r="K64" s="244"/>
      <c r="L64" s="62"/>
      <c r="M64" s="62"/>
      <c r="N64" s="245"/>
      <c r="O64" s="245"/>
      <c r="P64" s="246"/>
      <c r="Q64" s="246"/>
    </row>
    <row r="65" spans="1:17" s="247" customFormat="1" ht="15.6" customHeight="1" x14ac:dyDescent="0.3">
      <c r="A65" s="244"/>
      <c r="B65" s="97"/>
      <c r="C65" s="97"/>
      <c r="D65" s="97"/>
      <c r="E65" s="244"/>
      <c r="F65" s="244"/>
      <c r="G65" s="62"/>
      <c r="H65" s="62"/>
      <c r="I65" s="62"/>
      <c r="J65" s="244"/>
      <c r="K65" s="244"/>
      <c r="L65" s="62"/>
      <c r="M65" s="62"/>
      <c r="N65" s="245"/>
      <c r="O65" s="245"/>
      <c r="P65" s="246"/>
      <c r="Q65" s="246"/>
    </row>
    <row r="66" spans="1:17" s="247" customFormat="1" ht="15.6" customHeight="1" x14ac:dyDescent="0.3">
      <c r="A66" s="244"/>
      <c r="B66" s="97"/>
      <c r="C66" s="97"/>
      <c r="D66" s="97"/>
      <c r="E66" s="244"/>
      <c r="F66" s="244"/>
      <c r="G66" s="62"/>
      <c r="H66" s="62"/>
      <c r="I66" s="62"/>
      <c r="J66" s="244"/>
      <c r="K66" s="244"/>
      <c r="L66" s="62"/>
      <c r="M66" s="62"/>
      <c r="N66" s="245"/>
      <c r="O66" s="245"/>
      <c r="P66" s="246"/>
      <c r="Q66" s="246"/>
    </row>
    <row r="67" spans="1:17" s="247" customFormat="1" ht="15.6" customHeight="1" x14ac:dyDescent="0.3">
      <c r="A67" s="244"/>
      <c r="B67" s="97"/>
      <c r="C67" s="97"/>
      <c r="D67" s="97"/>
      <c r="E67" s="244"/>
      <c r="F67" s="244"/>
      <c r="G67" s="62"/>
      <c r="H67" s="62"/>
      <c r="I67" s="62"/>
      <c r="J67" s="244"/>
      <c r="K67" s="244"/>
      <c r="L67" s="62"/>
      <c r="M67" s="62"/>
      <c r="N67" s="245"/>
      <c r="O67" s="245"/>
      <c r="P67" s="246"/>
      <c r="Q67" s="246"/>
    </row>
    <row r="68" spans="1:17" s="247" customFormat="1" ht="15.6" customHeight="1" x14ac:dyDescent="0.3">
      <c r="A68" s="244"/>
      <c r="B68" s="97"/>
      <c r="C68" s="97"/>
      <c r="D68" s="97"/>
      <c r="E68" s="244"/>
      <c r="F68" s="244"/>
      <c r="G68" s="62"/>
      <c r="H68" s="62"/>
      <c r="I68" s="62"/>
      <c r="J68" s="244"/>
      <c r="K68" s="244"/>
      <c r="L68" s="62"/>
      <c r="M68" s="62"/>
      <c r="N68" s="245"/>
      <c r="O68" s="245"/>
      <c r="P68" s="246"/>
      <c r="Q68" s="246"/>
    </row>
    <row r="69" spans="1:17" s="247" customFormat="1" ht="15.6" customHeight="1" x14ac:dyDescent="0.3">
      <c r="A69" s="244"/>
      <c r="B69" s="97"/>
      <c r="C69" s="97"/>
      <c r="D69" s="97"/>
      <c r="E69" s="244"/>
      <c r="F69" s="244"/>
      <c r="G69" s="62"/>
      <c r="H69" s="62"/>
      <c r="I69" s="62"/>
      <c r="J69" s="244"/>
      <c r="K69" s="244"/>
      <c r="L69" s="62"/>
      <c r="M69" s="62"/>
      <c r="N69" s="245"/>
      <c r="O69" s="245"/>
      <c r="P69" s="246"/>
      <c r="Q69" s="246"/>
    </row>
    <row r="70" spans="1:17" s="247" customFormat="1" ht="15.6" customHeight="1" x14ac:dyDescent="0.3">
      <c r="A70" s="244"/>
      <c r="B70" s="97"/>
      <c r="C70" s="97"/>
      <c r="D70" s="97"/>
      <c r="E70" s="244"/>
      <c r="F70" s="244"/>
      <c r="G70" s="62"/>
      <c r="H70" s="62"/>
      <c r="I70" s="62"/>
      <c r="J70" s="244"/>
      <c r="K70" s="244"/>
      <c r="L70" s="62"/>
      <c r="M70" s="62"/>
      <c r="N70" s="245"/>
      <c r="O70" s="245"/>
      <c r="P70" s="246"/>
      <c r="Q70" s="246"/>
    </row>
    <row r="71" spans="1:17" s="247" customFormat="1" ht="15.6" customHeight="1" x14ac:dyDescent="0.3">
      <c r="A71" s="244"/>
      <c r="B71" s="97"/>
      <c r="C71" s="97"/>
      <c r="D71" s="97"/>
      <c r="E71" s="244"/>
      <c r="F71" s="244"/>
      <c r="G71" s="62"/>
      <c r="H71" s="62"/>
      <c r="I71" s="62"/>
      <c r="J71" s="244"/>
      <c r="K71" s="244"/>
      <c r="L71" s="62"/>
      <c r="M71" s="62"/>
      <c r="N71" s="245"/>
      <c r="O71" s="245"/>
      <c r="P71" s="246"/>
      <c r="Q71" s="246"/>
    </row>
    <row r="72" spans="1:17" s="247" customFormat="1" ht="15.6" customHeight="1" x14ac:dyDescent="0.3">
      <c r="A72" s="244"/>
      <c r="B72" s="97"/>
      <c r="C72" s="97"/>
      <c r="D72" s="97"/>
      <c r="E72" s="244"/>
      <c r="F72" s="244"/>
      <c r="G72" s="62"/>
      <c r="H72" s="62"/>
      <c r="I72" s="62"/>
      <c r="J72" s="244"/>
      <c r="K72" s="244"/>
      <c r="L72" s="62"/>
      <c r="M72" s="62"/>
      <c r="N72" s="245"/>
      <c r="O72" s="245"/>
      <c r="P72" s="246"/>
      <c r="Q72" s="246"/>
    </row>
    <row r="73" spans="1:17" s="247" customFormat="1" ht="15.6" customHeight="1" x14ac:dyDescent="0.3">
      <c r="A73" s="244"/>
      <c r="B73" s="97"/>
      <c r="C73" s="97"/>
      <c r="D73" s="97"/>
      <c r="E73" s="244"/>
      <c r="F73" s="244"/>
      <c r="G73" s="62"/>
      <c r="H73" s="62"/>
      <c r="I73" s="62"/>
      <c r="J73" s="244"/>
      <c r="K73" s="244"/>
      <c r="L73" s="62"/>
      <c r="M73" s="62"/>
      <c r="N73" s="245"/>
      <c r="O73" s="245"/>
      <c r="P73" s="246"/>
      <c r="Q73" s="246"/>
    </row>
    <row r="74" spans="1:17" s="247" customFormat="1" ht="15.6" customHeight="1" x14ac:dyDescent="0.3">
      <c r="A74" s="244"/>
      <c r="B74" s="97"/>
      <c r="C74" s="97"/>
      <c r="D74" s="97"/>
      <c r="E74" s="244"/>
      <c r="F74" s="244"/>
      <c r="G74" s="62"/>
      <c r="H74" s="62"/>
      <c r="I74" s="62"/>
      <c r="J74" s="244"/>
      <c r="K74" s="244"/>
      <c r="L74" s="62"/>
      <c r="M74" s="62"/>
      <c r="N74" s="245"/>
      <c r="O74" s="245"/>
      <c r="P74" s="246"/>
      <c r="Q74" s="246"/>
    </row>
    <row r="75" spans="1:17" s="247" customFormat="1" ht="15.6" customHeight="1" x14ac:dyDescent="0.3">
      <c r="A75" s="244"/>
      <c r="B75" s="97"/>
      <c r="C75" s="97"/>
      <c r="D75" s="97"/>
      <c r="E75" s="244"/>
      <c r="F75" s="244"/>
      <c r="G75" s="62"/>
      <c r="H75" s="62"/>
      <c r="I75" s="62"/>
      <c r="J75" s="244"/>
      <c r="K75" s="244"/>
      <c r="L75" s="62"/>
      <c r="M75" s="62"/>
      <c r="N75" s="245"/>
      <c r="O75" s="245"/>
      <c r="P75" s="246"/>
      <c r="Q75" s="246"/>
    </row>
    <row r="76" spans="1:17" s="247" customFormat="1" ht="15.6" customHeight="1" x14ac:dyDescent="0.3">
      <c r="A76" s="244"/>
      <c r="B76" s="97"/>
      <c r="C76" s="97"/>
      <c r="D76" s="97"/>
      <c r="E76" s="244"/>
      <c r="F76" s="244"/>
      <c r="G76" s="62"/>
      <c r="H76" s="62"/>
      <c r="I76" s="62"/>
      <c r="J76" s="244"/>
      <c r="K76" s="244"/>
      <c r="L76" s="62"/>
      <c r="M76" s="62"/>
      <c r="N76" s="245"/>
      <c r="O76" s="245"/>
      <c r="P76" s="246"/>
      <c r="Q76" s="246"/>
    </row>
    <row r="77" spans="1:17" s="247" customFormat="1" ht="15.6" customHeight="1" x14ac:dyDescent="0.3">
      <c r="A77" s="244"/>
      <c r="B77" s="97"/>
      <c r="C77" s="97"/>
      <c r="D77" s="97"/>
      <c r="E77" s="244"/>
      <c r="F77" s="244"/>
      <c r="G77" s="62"/>
      <c r="H77" s="62"/>
      <c r="I77" s="62"/>
      <c r="J77" s="244"/>
      <c r="K77" s="244"/>
      <c r="L77" s="62"/>
      <c r="M77" s="62"/>
      <c r="N77" s="245"/>
      <c r="O77" s="245"/>
      <c r="P77" s="246"/>
      <c r="Q77" s="246"/>
    </row>
    <row r="78" spans="1:17" s="63" customFormat="1" ht="15" customHeight="1" x14ac:dyDescent="0.3">
      <c r="A78" s="244"/>
      <c r="B78" s="97"/>
      <c r="C78" s="97"/>
      <c r="D78" s="97"/>
      <c r="E78" s="244"/>
      <c r="F78" s="244"/>
      <c r="G78" s="62"/>
      <c r="H78" s="62"/>
      <c r="I78" s="62"/>
      <c r="J78" s="244"/>
      <c r="K78" s="244"/>
      <c r="L78" s="62"/>
      <c r="M78" s="62"/>
      <c r="N78" s="245"/>
      <c r="O78" s="245"/>
      <c r="P78" s="246"/>
      <c r="Q78" s="246"/>
    </row>
    <row r="79" spans="1:17" s="63" customFormat="1" ht="15" customHeight="1" x14ac:dyDescent="0.3">
      <c r="A79" s="244"/>
      <c r="B79" s="97"/>
      <c r="C79" s="97"/>
      <c r="D79" s="97"/>
      <c r="E79" s="244"/>
      <c r="F79" s="244"/>
      <c r="G79" s="62"/>
      <c r="H79" s="62"/>
      <c r="I79" s="62"/>
      <c r="J79" s="244"/>
      <c r="K79" s="244"/>
      <c r="L79" s="62"/>
      <c r="M79" s="62"/>
      <c r="N79" s="245"/>
      <c r="O79" s="245"/>
      <c r="P79" s="246"/>
      <c r="Q79" s="246"/>
    </row>
    <row r="80" spans="1:17" s="63" customFormat="1" ht="15" customHeight="1" x14ac:dyDescent="0.3">
      <c r="A80" s="244"/>
      <c r="B80" s="97"/>
      <c r="C80" s="97"/>
      <c r="D80" s="97"/>
      <c r="E80" s="244"/>
      <c r="F80" s="244"/>
      <c r="G80" s="62"/>
      <c r="H80" s="62"/>
      <c r="I80" s="62"/>
      <c r="J80" s="244"/>
      <c r="K80" s="244"/>
      <c r="L80" s="62"/>
      <c r="M80" s="62"/>
      <c r="N80" s="245"/>
      <c r="O80" s="245"/>
      <c r="P80" s="246"/>
      <c r="Q80" s="246"/>
    </row>
    <row r="81" spans="1:17" s="63" customFormat="1" ht="15" customHeight="1" x14ac:dyDescent="0.3">
      <c r="A81" s="244"/>
      <c r="B81" s="97"/>
      <c r="C81" s="97"/>
      <c r="D81" s="97"/>
      <c r="E81" s="244"/>
      <c r="F81" s="244"/>
      <c r="G81" s="62"/>
      <c r="H81" s="62"/>
      <c r="I81" s="62"/>
      <c r="J81" s="244"/>
      <c r="K81" s="244"/>
      <c r="L81" s="62"/>
      <c r="M81" s="62"/>
      <c r="N81" s="245"/>
      <c r="O81" s="245"/>
      <c r="P81" s="246"/>
      <c r="Q81" s="246"/>
    </row>
    <row r="82" spans="1:17" s="63" customFormat="1" ht="15" customHeight="1" x14ac:dyDescent="0.3">
      <c r="A82" s="244"/>
      <c r="B82" s="97"/>
      <c r="C82" s="97"/>
      <c r="D82" s="97"/>
      <c r="E82" s="244"/>
      <c r="F82" s="244"/>
      <c r="G82" s="62"/>
      <c r="H82" s="62"/>
      <c r="I82" s="62"/>
      <c r="J82" s="244"/>
      <c r="K82" s="244"/>
      <c r="L82" s="62"/>
      <c r="M82" s="62"/>
      <c r="N82" s="245"/>
      <c r="O82" s="245"/>
      <c r="P82" s="246"/>
      <c r="Q82" s="246"/>
    </row>
    <row r="83" spans="1:17" s="63" customFormat="1" ht="15" customHeight="1" x14ac:dyDescent="0.3">
      <c r="A83" s="244"/>
      <c r="B83" s="97"/>
      <c r="C83" s="97"/>
      <c r="D83" s="97"/>
      <c r="E83" s="244"/>
      <c r="F83" s="244"/>
      <c r="G83" s="62"/>
      <c r="H83" s="62"/>
      <c r="I83" s="62"/>
      <c r="J83" s="244"/>
      <c r="K83" s="244"/>
      <c r="L83" s="62"/>
      <c r="M83" s="62"/>
      <c r="N83" s="245"/>
      <c r="O83" s="245"/>
      <c r="P83" s="246"/>
      <c r="Q83" s="246"/>
    </row>
    <row r="84" spans="1:17" s="63" customFormat="1" ht="15" customHeight="1" x14ac:dyDescent="0.3">
      <c r="A84" s="244"/>
      <c r="B84" s="97"/>
      <c r="C84" s="97"/>
      <c r="D84" s="97"/>
      <c r="E84" s="244"/>
      <c r="F84" s="244"/>
      <c r="G84" s="62"/>
      <c r="H84" s="62"/>
      <c r="I84" s="62"/>
      <c r="J84" s="244"/>
      <c r="K84" s="244"/>
      <c r="L84" s="62"/>
      <c r="M84" s="62"/>
      <c r="N84" s="245"/>
      <c r="O84" s="245"/>
      <c r="P84" s="246"/>
      <c r="Q84" s="246"/>
    </row>
    <row r="85" spans="1:17" s="63" customFormat="1" ht="15" customHeight="1" x14ac:dyDescent="0.3">
      <c r="A85" s="244"/>
      <c r="B85" s="97"/>
      <c r="C85" s="97"/>
      <c r="D85" s="97"/>
      <c r="E85" s="244"/>
      <c r="F85" s="244"/>
      <c r="G85" s="62"/>
      <c r="H85" s="62"/>
      <c r="I85" s="62"/>
      <c r="J85" s="244"/>
      <c r="K85" s="244"/>
      <c r="L85" s="62"/>
      <c r="M85" s="62"/>
      <c r="N85" s="245"/>
      <c r="O85" s="245"/>
      <c r="P85" s="246"/>
      <c r="Q85" s="246"/>
    </row>
    <row r="86" spans="1:17" s="63" customFormat="1" ht="15" customHeight="1" x14ac:dyDescent="0.3">
      <c r="A86" s="244"/>
      <c r="B86" s="97"/>
      <c r="C86" s="97"/>
      <c r="D86" s="97"/>
      <c r="E86" s="244"/>
      <c r="F86" s="244"/>
      <c r="G86" s="62"/>
      <c r="H86" s="62"/>
      <c r="I86" s="62"/>
      <c r="J86" s="244"/>
      <c r="K86" s="244"/>
      <c r="L86" s="62"/>
      <c r="M86" s="62"/>
      <c r="N86" s="245"/>
      <c r="O86" s="245"/>
      <c r="P86" s="246"/>
      <c r="Q86" s="246"/>
    </row>
    <row r="87" spans="1:17" s="63" customFormat="1" ht="15" customHeight="1" x14ac:dyDescent="0.3">
      <c r="A87" s="244"/>
      <c r="B87" s="97"/>
      <c r="C87" s="97"/>
      <c r="D87" s="97"/>
      <c r="E87" s="244"/>
      <c r="F87" s="244"/>
      <c r="G87" s="62"/>
      <c r="H87" s="62"/>
      <c r="I87" s="62"/>
      <c r="J87" s="244"/>
      <c r="K87" s="244"/>
      <c r="L87" s="62"/>
      <c r="M87" s="62"/>
      <c r="N87" s="245"/>
      <c r="O87" s="245"/>
      <c r="P87" s="246"/>
      <c r="Q87" s="246"/>
    </row>
    <row r="88" spans="1:17" s="63" customFormat="1" ht="15" customHeight="1" x14ac:dyDescent="0.3">
      <c r="A88" s="244"/>
      <c r="B88" s="97"/>
      <c r="C88" s="97"/>
      <c r="D88" s="97"/>
      <c r="E88" s="244"/>
      <c r="F88" s="244"/>
      <c r="G88" s="62"/>
      <c r="H88" s="62"/>
      <c r="I88" s="62"/>
      <c r="J88" s="244"/>
      <c r="K88" s="244"/>
      <c r="L88" s="62"/>
      <c r="M88" s="62"/>
      <c r="N88" s="245"/>
      <c r="O88" s="245"/>
      <c r="P88" s="246"/>
      <c r="Q88" s="246"/>
    </row>
    <row r="89" spans="1:17" s="63" customFormat="1" ht="15" customHeight="1" x14ac:dyDescent="0.3">
      <c r="A89" s="244"/>
      <c r="B89" s="97"/>
      <c r="C89" s="97"/>
      <c r="D89" s="97"/>
      <c r="E89" s="244"/>
      <c r="F89" s="244"/>
      <c r="G89" s="62"/>
      <c r="H89" s="62"/>
      <c r="I89" s="62"/>
      <c r="J89" s="244"/>
      <c r="K89" s="244"/>
      <c r="L89" s="62"/>
      <c r="M89" s="62"/>
      <c r="N89" s="245"/>
      <c r="O89" s="245"/>
      <c r="P89" s="246"/>
      <c r="Q89" s="246"/>
    </row>
    <row r="90" spans="1:17" s="63" customFormat="1" ht="15" customHeight="1" x14ac:dyDescent="0.3">
      <c r="A90" s="244"/>
      <c r="B90" s="97"/>
      <c r="C90" s="97"/>
      <c r="D90" s="97"/>
      <c r="E90" s="244"/>
      <c r="F90" s="244"/>
      <c r="G90" s="62"/>
      <c r="H90" s="62"/>
      <c r="I90" s="62"/>
      <c r="J90" s="244"/>
      <c r="K90" s="244"/>
      <c r="L90" s="62"/>
      <c r="M90" s="62"/>
      <c r="N90" s="245"/>
      <c r="O90" s="245"/>
      <c r="P90" s="246"/>
      <c r="Q90" s="246"/>
    </row>
    <row r="91" spans="1:17" s="63" customFormat="1" ht="15" customHeight="1" x14ac:dyDescent="0.3">
      <c r="A91" s="244"/>
      <c r="B91" s="97"/>
      <c r="C91" s="97"/>
      <c r="D91" s="97"/>
      <c r="E91" s="244"/>
      <c r="F91" s="244"/>
      <c r="G91" s="62"/>
      <c r="H91" s="62"/>
      <c r="I91" s="62"/>
      <c r="J91" s="244"/>
      <c r="K91" s="244"/>
      <c r="L91" s="62"/>
      <c r="M91" s="62"/>
      <c r="N91" s="245"/>
      <c r="O91" s="245"/>
      <c r="P91" s="246"/>
      <c r="Q91" s="246"/>
    </row>
    <row r="92" spans="1:17" s="63" customFormat="1" ht="15" customHeight="1" x14ac:dyDescent="0.3">
      <c r="A92" s="244"/>
      <c r="B92" s="97"/>
      <c r="C92" s="97"/>
      <c r="D92" s="97"/>
      <c r="E92" s="244"/>
      <c r="F92" s="244"/>
      <c r="G92" s="62"/>
      <c r="H92" s="62"/>
      <c r="I92" s="62"/>
      <c r="J92" s="244"/>
      <c r="K92" s="244"/>
      <c r="L92" s="62"/>
      <c r="M92" s="62"/>
      <c r="N92" s="245"/>
      <c r="O92" s="245"/>
      <c r="P92" s="246"/>
      <c r="Q92" s="246"/>
    </row>
    <row r="93" spans="1:17" s="63" customFormat="1" ht="15" customHeight="1" x14ac:dyDescent="0.3">
      <c r="A93" s="244"/>
      <c r="B93" s="97"/>
      <c r="C93" s="97"/>
      <c r="D93" s="97"/>
      <c r="E93" s="244"/>
      <c r="F93" s="244"/>
      <c r="G93" s="62"/>
      <c r="H93" s="62"/>
      <c r="I93" s="62"/>
      <c r="J93" s="244"/>
      <c r="K93" s="244"/>
      <c r="L93" s="62"/>
      <c r="M93" s="62"/>
      <c r="N93" s="245"/>
      <c r="O93" s="245"/>
      <c r="P93" s="246"/>
      <c r="Q93" s="246"/>
    </row>
    <row r="94" spans="1:17" s="63" customFormat="1" ht="15" customHeight="1" x14ac:dyDescent="0.3">
      <c r="A94" s="244"/>
      <c r="B94" s="97"/>
      <c r="C94" s="97"/>
      <c r="D94" s="97"/>
      <c r="E94" s="244"/>
      <c r="F94" s="244"/>
      <c r="G94" s="62"/>
      <c r="H94" s="62"/>
      <c r="I94" s="62"/>
      <c r="J94" s="244"/>
      <c r="K94" s="244"/>
      <c r="L94" s="62"/>
      <c r="M94" s="62"/>
      <c r="N94" s="245"/>
      <c r="O94" s="245"/>
      <c r="P94" s="246"/>
      <c r="Q94" s="246"/>
    </row>
    <row r="95" spans="1:17" s="63" customFormat="1" ht="15" customHeight="1" x14ac:dyDescent="0.3">
      <c r="A95" s="244"/>
      <c r="B95" s="97"/>
      <c r="C95" s="97"/>
      <c r="D95" s="97"/>
      <c r="E95" s="244"/>
      <c r="F95" s="244"/>
      <c r="G95" s="62"/>
      <c r="H95" s="62"/>
      <c r="I95" s="62"/>
      <c r="J95" s="244"/>
      <c r="K95" s="244"/>
      <c r="L95" s="62"/>
      <c r="M95" s="62"/>
      <c r="N95" s="245"/>
      <c r="O95" s="245"/>
      <c r="P95" s="246"/>
      <c r="Q95" s="246"/>
    </row>
    <row r="96" spans="1:17" s="63" customFormat="1" ht="15" customHeight="1" x14ac:dyDescent="0.3">
      <c r="A96" s="244"/>
      <c r="B96" s="97"/>
      <c r="C96" s="97"/>
      <c r="D96" s="97"/>
      <c r="E96" s="244"/>
      <c r="F96" s="244"/>
      <c r="G96" s="62"/>
      <c r="H96" s="62"/>
      <c r="I96" s="62"/>
      <c r="J96" s="244"/>
      <c r="K96" s="244"/>
      <c r="L96" s="62"/>
      <c r="M96" s="62"/>
      <c r="N96" s="245"/>
      <c r="O96" s="245"/>
      <c r="P96" s="246"/>
      <c r="Q96" s="246"/>
    </row>
    <row r="97" spans="1:17" s="63" customFormat="1" ht="15" customHeight="1" x14ac:dyDescent="0.3">
      <c r="A97" s="244"/>
      <c r="B97" s="97"/>
      <c r="C97" s="97"/>
      <c r="D97" s="97"/>
      <c r="E97" s="244"/>
      <c r="F97" s="244"/>
      <c r="G97" s="62"/>
      <c r="H97" s="62"/>
      <c r="I97" s="62"/>
      <c r="J97" s="244"/>
      <c r="K97" s="244"/>
      <c r="L97" s="62"/>
      <c r="M97" s="62"/>
      <c r="N97" s="245"/>
      <c r="O97" s="245"/>
      <c r="P97" s="246"/>
      <c r="Q97" s="246"/>
    </row>
    <row r="98" spans="1:17" s="63" customFormat="1" ht="15" customHeight="1" x14ac:dyDescent="0.3">
      <c r="A98" s="244"/>
      <c r="B98" s="97"/>
      <c r="C98" s="97"/>
      <c r="D98" s="97"/>
      <c r="E98" s="244"/>
      <c r="F98" s="244"/>
      <c r="G98" s="62"/>
      <c r="H98" s="62"/>
      <c r="I98" s="62"/>
      <c r="J98" s="244"/>
      <c r="K98" s="244"/>
      <c r="L98" s="62"/>
      <c r="M98" s="62"/>
      <c r="N98" s="245"/>
      <c r="O98" s="245"/>
      <c r="P98" s="246"/>
      <c r="Q98" s="246"/>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workbookViewId="0">
      <selection activeCell="B89" sqref="B89:D89"/>
    </sheetView>
  </sheetViews>
  <sheetFormatPr defaultColWidth="9.109375" defaultRowHeight="13.8" x14ac:dyDescent="0.3"/>
  <cols>
    <col min="1" max="1" width="56.88671875" style="107" customWidth="1"/>
    <col min="2" max="4" width="12.88671875" style="246" customWidth="1"/>
    <col min="5" max="5" width="9.109375" style="270" customWidth="1"/>
    <col min="6" max="16384" width="9.109375" style="270"/>
  </cols>
  <sheetData>
    <row r="1" spans="1:4" s="64" customFormat="1" ht="17.399999999999999" customHeight="1" x14ac:dyDescent="0.3">
      <c r="A1" s="318" t="s">
        <v>164</v>
      </c>
      <c r="B1" s="319"/>
      <c r="C1" s="319"/>
      <c r="D1" s="319"/>
    </row>
    <row r="2" spans="1:4" s="64" customFormat="1" ht="27.75" customHeight="1" x14ac:dyDescent="0.3">
      <c r="A2" s="320" t="s">
        <v>165</v>
      </c>
      <c r="B2" s="319"/>
      <c r="C2" s="319"/>
      <c r="D2" s="319"/>
    </row>
    <row r="3" spans="1:4" s="64" customFormat="1" ht="17.399999999999999" customHeight="1" x14ac:dyDescent="0.3">
      <c r="A3" s="321"/>
      <c r="B3" s="319"/>
      <c r="C3" s="319"/>
      <c r="D3" s="319"/>
    </row>
    <row r="4" spans="1:4" x14ac:dyDescent="0.3">
      <c r="A4" s="248" t="s">
        <v>166</v>
      </c>
      <c r="B4" s="241">
        <f>'1A-Bilant'!B5</f>
        <v>2018</v>
      </c>
      <c r="C4" s="241">
        <f>'1A-Bilant'!C5</f>
        <v>2019</v>
      </c>
      <c r="D4" s="241" t="str">
        <f>'1A-Bilant'!D5</f>
        <v>AN</v>
      </c>
    </row>
    <row r="5" spans="1:4" x14ac:dyDescent="0.3">
      <c r="A5" s="71" t="s">
        <v>167</v>
      </c>
      <c r="B5" s="67">
        <f>'1C-Analiza_fin_extinsa'!B21-'1C-Analiza_fin_extinsa'!B16-'1C-Analiza_fin_extinsa'!B11</f>
        <v>847331</v>
      </c>
      <c r="C5" s="67">
        <f>'1C-Analiza_fin_extinsa'!C21-'1C-Analiza_fin_extinsa'!C16-'1C-Analiza_fin_extinsa'!C11</f>
        <v>68350</v>
      </c>
      <c r="D5" s="67">
        <f>'1C-Analiza_fin_extinsa'!D21-'1C-Analiza_fin_extinsa'!D16-'1C-Analiza_fin_extinsa'!D11</f>
        <v>0</v>
      </c>
    </row>
    <row r="6" spans="1:4" ht="27.6" customHeight="1" x14ac:dyDescent="0.3">
      <c r="A6" s="71" t="s">
        <v>168</v>
      </c>
      <c r="B6" s="67">
        <f>'1C-Analiza_fin_extinsa'!B20+'1C-Analiza_fin_extinsa'!B16-'1C-Analiza_fin_extinsa'!B4</f>
        <v>214052</v>
      </c>
      <c r="C6" s="67">
        <f>'1C-Analiza_fin_extinsa'!C20+'1C-Analiza_fin_extinsa'!C16-'1C-Analiza_fin_extinsa'!C4</f>
        <v>-474466</v>
      </c>
      <c r="D6" s="67">
        <f>'1C-Analiza_fin_extinsa'!D20+'1C-Analiza_fin_extinsa'!D16-'1C-Analiza_fin_extinsa'!D4</f>
        <v>0</v>
      </c>
    </row>
    <row r="7" spans="1:4" ht="27.6" customHeight="1" x14ac:dyDescent="0.3">
      <c r="A7" s="71" t="s">
        <v>169</v>
      </c>
      <c r="B7" s="67">
        <f>('1C-Analiza_fin_extinsa'!B5-'1C-Analiza_fin_extinsa'!B9)-('1C-Analiza_fin_extinsa'!B11-'1C-Analiza_fin_extinsa'!B12)</f>
        <v>12717</v>
      </c>
      <c r="C7" s="67">
        <f>('1C-Analiza_fin_extinsa'!C5-'1C-Analiza_fin_extinsa'!C9)-('1C-Analiza_fin_extinsa'!C11-'1C-Analiza_fin_extinsa'!C12)</f>
        <v>41131</v>
      </c>
      <c r="D7" s="67">
        <f>('1C-Analiza_fin_extinsa'!D5-'1C-Analiza_fin_extinsa'!D9)-('1C-Analiza_fin_extinsa'!D11-'1C-Analiza_fin_extinsa'!D12)</f>
        <v>0</v>
      </c>
    </row>
    <row r="8" spans="1:4" x14ac:dyDescent="0.3">
      <c r="A8" s="71" t="s">
        <v>170</v>
      </c>
      <c r="B8" s="67">
        <f>B6-B7</f>
        <v>201335</v>
      </c>
      <c r="C8" s="67">
        <f>C6-C7</f>
        <v>-515597</v>
      </c>
      <c r="D8" s="67">
        <f>D6-D7</f>
        <v>0</v>
      </c>
    </row>
    <row r="9" spans="1:4" x14ac:dyDescent="0.3">
      <c r="A9" s="71" t="s">
        <v>171</v>
      </c>
      <c r="B9" s="67"/>
      <c r="C9" s="67">
        <f>C8-B8</f>
        <v>-716932</v>
      </c>
      <c r="D9" s="67">
        <f>D8-C8</f>
        <v>515597</v>
      </c>
    </row>
    <row r="10" spans="1:4" x14ac:dyDescent="0.3">
      <c r="A10" s="71" t="s">
        <v>172</v>
      </c>
      <c r="B10" s="65">
        <f>IFERROR(B7/B6,"")</f>
        <v>5.9410797376338462E-2</v>
      </c>
      <c r="C10" s="65">
        <f>IFERROR(C7/C6,"")</f>
        <v>-8.6689035673789064E-2</v>
      </c>
      <c r="D10" s="65" t="str">
        <f>IFERROR(D7/D6,"")</f>
        <v/>
      </c>
    </row>
    <row r="11" spans="1:4" x14ac:dyDescent="0.3">
      <c r="B11" s="66"/>
      <c r="C11" s="66"/>
      <c r="D11" s="66"/>
    </row>
    <row r="12" spans="1:4" x14ac:dyDescent="0.3">
      <c r="A12" s="248" t="s">
        <v>173</v>
      </c>
      <c r="B12" s="271">
        <f>'1A-Bilant'!B5</f>
        <v>2018</v>
      </c>
      <c r="C12" s="271">
        <f>'1A-Bilant'!C5</f>
        <v>2019</v>
      </c>
      <c r="D12" s="271" t="str">
        <f>'1A-Bilant'!D5</f>
        <v>AN</v>
      </c>
    </row>
    <row r="13" spans="1:4" x14ac:dyDescent="0.3">
      <c r="A13" s="71" t="s">
        <v>174</v>
      </c>
      <c r="B13" s="67">
        <f>'1C-Analiza_fin_extinsa'!B25</f>
        <v>3530610</v>
      </c>
      <c r="C13" s="67">
        <f>'1C-Analiza_fin_extinsa'!C25</f>
        <v>3492502</v>
      </c>
      <c r="D13" s="67">
        <f>'1C-Analiza_fin_extinsa'!D25</f>
        <v>0</v>
      </c>
    </row>
    <row r="14" spans="1:4" x14ac:dyDescent="0.3">
      <c r="A14" s="71" t="s">
        <v>91</v>
      </c>
      <c r="B14" s="67">
        <f>'1C-Analiza_fin_extinsa'!B27</f>
        <v>3548830</v>
      </c>
      <c r="C14" s="67">
        <f>'1C-Analiza_fin_extinsa'!C27</f>
        <v>3501102</v>
      </c>
      <c r="D14" s="67">
        <f>'1C-Analiza_fin_extinsa'!D27</f>
        <v>0</v>
      </c>
    </row>
    <row r="15" spans="1:4" x14ac:dyDescent="0.3">
      <c r="A15" s="71" t="s">
        <v>102</v>
      </c>
      <c r="B15" s="67">
        <f>'1C-Analiza_fin_extinsa'!B30</f>
        <v>3012869</v>
      </c>
      <c r="C15" s="67">
        <f>'1C-Analiza_fin_extinsa'!C30</f>
        <v>3364421</v>
      </c>
      <c r="D15" s="67">
        <f>'1C-Analiza_fin_extinsa'!D30</f>
        <v>0</v>
      </c>
    </row>
    <row r="16" spans="1:4" ht="27.6" customHeight="1" x14ac:dyDescent="0.3">
      <c r="A16" s="71" t="s">
        <v>175</v>
      </c>
      <c r="B16" s="67">
        <f>'1C-Analiza_fin_extinsa'!B31</f>
        <v>535961</v>
      </c>
      <c r="C16" s="67">
        <f>'1C-Analiza_fin_extinsa'!C31</f>
        <v>136681</v>
      </c>
      <c r="D16" s="67">
        <f>'1C-Analiza_fin_extinsa'!D31</f>
        <v>0</v>
      </c>
    </row>
    <row r="17" spans="1:4" x14ac:dyDescent="0.3">
      <c r="A17" s="71" t="s">
        <v>110</v>
      </c>
      <c r="B17" s="67">
        <f>'1C-Analiza_fin_extinsa'!B32</f>
        <v>19452</v>
      </c>
      <c r="C17" s="67">
        <f>'1C-Analiza_fin_extinsa'!C32</f>
        <v>9963</v>
      </c>
      <c r="D17" s="67">
        <f>'1C-Analiza_fin_extinsa'!D32</f>
        <v>0</v>
      </c>
    </row>
    <row r="18" spans="1:4" x14ac:dyDescent="0.3">
      <c r="A18" s="71" t="s">
        <v>114</v>
      </c>
      <c r="B18" s="67">
        <f>'1C-Analiza_fin_extinsa'!B36</f>
        <v>28399</v>
      </c>
      <c r="C18" s="67">
        <f>'1C-Analiza_fin_extinsa'!C36</f>
        <v>43580</v>
      </c>
      <c r="D18" s="67">
        <f>'1C-Analiza_fin_extinsa'!D36</f>
        <v>0</v>
      </c>
    </row>
    <row r="19" spans="1:4" s="68" customFormat="1" x14ac:dyDescent="0.3">
      <c r="A19" s="71" t="s">
        <v>176</v>
      </c>
      <c r="B19" s="67">
        <f>'1C-Analiza_fin_extinsa'!B37</f>
        <v>-8947</v>
      </c>
      <c r="C19" s="67">
        <f>'1C-Analiza_fin_extinsa'!C37</f>
        <v>-33617</v>
      </c>
      <c r="D19" s="67">
        <f>'1C-Analiza_fin_extinsa'!D37</f>
        <v>0</v>
      </c>
    </row>
    <row r="20" spans="1:4" x14ac:dyDescent="0.3">
      <c r="A20" s="71" t="s">
        <v>177</v>
      </c>
      <c r="B20" s="67">
        <f>'1C-Analiza_fin_extinsa'!B38</f>
        <v>527014</v>
      </c>
      <c r="C20" s="67">
        <f>'1C-Analiza_fin_extinsa'!C38</f>
        <v>103064</v>
      </c>
      <c r="D20" s="67">
        <f>'1C-Analiza_fin_extinsa'!D38</f>
        <v>0</v>
      </c>
    </row>
    <row r="21" spans="1:4" x14ac:dyDescent="0.3">
      <c r="A21" s="71" t="s">
        <v>121</v>
      </c>
      <c r="B21" s="67">
        <f>'1C-Analiza_fin_extinsa'!B39</f>
        <v>0</v>
      </c>
      <c r="C21" s="67">
        <f>'1C-Analiza_fin_extinsa'!C39</f>
        <v>0</v>
      </c>
      <c r="D21" s="67">
        <f>'1C-Analiza_fin_extinsa'!D39</f>
        <v>0</v>
      </c>
    </row>
    <row r="22" spans="1:4" x14ac:dyDescent="0.3">
      <c r="A22" s="71" t="s">
        <v>122</v>
      </c>
      <c r="B22" s="67">
        <f>'1C-Analiza_fin_extinsa'!B40</f>
        <v>0</v>
      </c>
      <c r="C22" s="67">
        <f>'1C-Analiza_fin_extinsa'!C40</f>
        <v>0</v>
      </c>
      <c r="D22" s="67">
        <f>'1C-Analiza_fin_extinsa'!D40</f>
        <v>0</v>
      </c>
    </row>
    <row r="23" spans="1:4" ht="27.6" customHeight="1" x14ac:dyDescent="0.3">
      <c r="A23" s="71" t="s">
        <v>178</v>
      </c>
      <c r="B23" s="67">
        <f>'1C-Analiza_fin_extinsa'!B41</f>
        <v>0</v>
      </c>
      <c r="C23" s="67">
        <f>'1C-Analiza_fin_extinsa'!C41</f>
        <v>0</v>
      </c>
      <c r="D23" s="67">
        <f>'1C-Analiza_fin_extinsa'!D41</f>
        <v>0</v>
      </c>
    </row>
    <row r="24" spans="1:4" x14ac:dyDescent="0.3">
      <c r="A24" s="71" t="s">
        <v>126</v>
      </c>
      <c r="B24" s="67">
        <f>'1C-Analiza_fin_extinsa'!B42</f>
        <v>3568282</v>
      </c>
      <c r="C24" s="67">
        <f>'1C-Analiza_fin_extinsa'!C42</f>
        <v>3511065</v>
      </c>
      <c r="D24" s="67">
        <f>'1C-Analiza_fin_extinsa'!D42</f>
        <v>0</v>
      </c>
    </row>
    <row r="25" spans="1:4" x14ac:dyDescent="0.3">
      <c r="A25" s="71" t="s">
        <v>127</v>
      </c>
      <c r="B25" s="67">
        <f>'1C-Analiza_fin_extinsa'!B43</f>
        <v>3041268</v>
      </c>
      <c r="C25" s="67">
        <f>'1C-Analiza_fin_extinsa'!C43</f>
        <v>3408001</v>
      </c>
      <c r="D25" s="67">
        <f>'1C-Analiza_fin_extinsa'!D43</f>
        <v>0</v>
      </c>
    </row>
    <row r="26" spans="1:4" x14ac:dyDescent="0.3">
      <c r="A26" s="71" t="s">
        <v>179</v>
      </c>
      <c r="B26" s="67">
        <f>'1C-Analiza_fin_extinsa'!B44</f>
        <v>527014</v>
      </c>
      <c r="C26" s="67">
        <f>'1C-Analiza_fin_extinsa'!C44</f>
        <v>103064</v>
      </c>
      <c r="D26" s="67">
        <f>'1C-Analiza_fin_extinsa'!D44</f>
        <v>0</v>
      </c>
    </row>
    <row r="27" spans="1:4" hidden="1" x14ac:dyDescent="0.3">
      <c r="A27" s="69" t="s">
        <v>131</v>
      </c>
      <c r="B27" s="70">
        <f>'1C-Analiza_fin_extinsa'!B45</f>
        <v>0</v>
      </c>
      <c r="C27" s="70">
        <f>'1C-Analiza_fin_extinsa'!C45</f>
        <v>0</v>
      </c>
      <c r="D27" s="70">
        <f>'1C-Analiza_fin_extinsa'!D45</f>
        <v>0</v>
      </c>
    </row>
    <row r="28" spans="1:4" x14ac:dyDescent="0.3">
      <c r="A28" s="71" t="s">
        <v>180</v>
      </c>
      <c r="B28" s="67">
        <f>'1C-Analiza_fin_extinsa'!B47</f>
        <v>491331</v>
      </c>
      <c r="C28" s="67">
        <f>'1C-Analiza_fin_extinsa'!C47</f>
        <v>68110</v>
      </c>
      <c r="D28" s="67">
        <f>'1C-Analiza_fin_extinsa'!D47</f>
        <v>0</v>
      </c>
    </row>
    <row r="29" spans="1:4" x14ac:dyDescent="0.3">
      <c r="A29" s="71" t="s">
        <v>181</v>
      </c>
      <c r="B29" s="67">
        <f>'1C-Analiza_fin_extinsa'!B48</f>
        <v>527014</v>
      </c>
      <c r="C29" s="67">
        <f>'1C-Analiza_fin_extinsa'!C48</f>
        <v>103064</v>
      </c>
      <c r="D29" s="67">
        <f>'1C-Analiza_fin_extinsa'!D48</f>
        <v>0</v>
      </c>
    </row>
    <row r="30" spans="1:4" x14ac:dyDescent="0.3">
      <c r="A30" s="71" t="s">
        <v>182</v>
      </c>
      <c r="B30" s="67">
        <f>'1C-Analiza_fin_extinsa'!B49</f>
        <v>556180</v>
      </c>
      <c r="C30" s="67">
        <f>'1C-Analiza_fin_extinsa'!C49</f>
        <v>142822</v>
      </c>
      <c r="D30" s="67">
        <f>'1C-Analiza_fin_extinsa'!D49</f>
        <v>0</v>
      </c>
    </row>
    <row r="31" spans="1:4" ht="27.6" customHeight="1" x14ac:dyDescent="0.3">
      <c r="A31" s="71" t="s">
        <v>183</v>
      </c>
      <c r="B31" s="67">
        <f>'1C-Analiza_fin_extinsa'!B50</f>
        <v>703467</v>
      </c>
      <c r="C31" s="67">
        <f>'1C-Analiza_fin_extinsa'!C50</f>
        <v>346609</v>
      </c>
      <c r="D31" s="67">
        <f>'1C-Analiza_fin_extinsa'!D50</f>
        <v>0</v>
      </c>
    </row>
    <row r="32" spans="1:4" x14ac:dyDescent="0.3">
      <c r="B32" s="66"/>
      <c r="C32" s="66"/>
      <c r="D32" s="66"/>
    </row>
    <row r="33" spans="1:4" x14ac:dyDescent="0.3">
      <c r="A33" s="248" t="s">
        <v>184</v>
      </c>
      <c r="B33" s="271">
        <f>'1A-Bilant'!B5</f>
        <v>2018</v>
      </c>
      <c r="C33" s="271">
        <f>'1A-Bilant'!C5</f>
        <v>2019</v>
      </c>
      <c r="D33" s="271" t="str">
        <f>'1A-Bilant'!D5</f>
        <v>AN</v>
      </c>
    </row>
    <row r="34" spans="1:4" x14ac:dyDescent="0.3">
      <c r="A34" s="71" t="s">
        <v>185</v>
      </c>
      <c r="B34" s="73">
        <f>IFERROR('1C-Analiza_fin_extinsa'!G31,"")</f>
        <v>0.15180407918178446</v>
      </c>
      <c r="C34" s="73">
        <f>IFERROR('1C-Analiza_fin_extinsa'!H31,"")</f>
        <v>3.9135553823591226E-2</v>
      </c>
      <c r="D34" s="73" t="str">
        <f>IFERROR('1C-Analiza_fin_extinsa'!I31,"")</f>
        <v/>
      </c>
    </row>
    <row r="35" spans="1:4" x14ac:dyDescent="0.3">
      <c r="A35" s="71" t="s">
        <v>186</v>
      </c>
      <c r="B35" s="73">
        <f>IFERROR('1C-Analiza_fin_extinsa'!G37,"")</f>
        <v>-2.5341229985753168E-3</v>
      </c>
      <c r="C35" s="73">
        <f>IFERROR('1C-Analiza_fin_extinsa'!H37,"")</f>
        <v>-9.6254776661545225E-3</v>
      </c>
      <c r="D35" s="73" t="str">
        <f>IFERROR('1C-Analiza_fin_extinsa'!I37,"")</f>
        <v/>
      </c>
    </row>
    <row r="36" spans="1:4" x14ac:dyDescent="0.3">
      <c r="A36" s="71" t="s">
        <v>187</v>
      </c>
      <c r="B36" s="73">
        <f>IFERROR('1C-Analiza_fin_extinsa'!G41,"")</f>
        <v>0</v>
      </c>
      <c r="C36" s="73">
        <f>IFERROR('1C-Analiza_fin_extinsa'!H41,"")</f>
        <v>0</v>
      </c>
      <c r="D36" s="73" t="str">
        <f>IFERROR('1C-Analiza_fin_extinsa'!I41,"")</f>
        <v/>
      </c>
    </row>
    <row r="37" spans="1:4" x14ac:dyDescent="0.3">
      <c r="A37" s="71" t="s">
        <v>188</v>
      </c>
      <c r="B37" s="73">
        <f>IFERROR('1C-Analiza_fin_extinsa'!G44,"")</f>
        <v>0.14926995618320912</v>
      </c>
      <c r="C37" s="73">
        <f>IFERROR('1C-Analiza_fin_extinsa'!H44,"")</f>
        <v>2.9510076157436702E-2</v>
      </c>
      <c r="D37" s="73" t="str">
        <f>IFERROR('1C-Analiza_fin_extinsa'!I44,"")</f>
        <v/>
      </c>
    </row>
    <row r="38" spans="1:4" x14ac:dyDescent="0.3">
      <c r="A38" s="71" t="s">
        <v>189</v>
      </c>
      <c r="B38" s="73">
        <f>IFERROR('1C-Analiza_fin_extinsa'!G47,"")</f>
        <v>0.1391632040922107</v>
      </c>
      <c r="C38" s="73">
        <f>IFERROR('1C-Analiza_fin_extinsa'!H47,"")</f>
        <v>1.9501778381229275E-2</v>
      </c>
      <c r="D38" s="73" t="str">
        <f>IFERROR('1C-Analiza_fin_extinsa'!I47,"")</f>
        <v/>
      </c>
    </row>
    <row r="39" spans="1:4" x14ac:dyDescent="0.3">
      <c r="A39" s="71" t="s">
        <v>190</v>
      </c>
      <c r="B39" s="73">
        <f>IFERROR('1C-Analiza_fin_extinsa'!G50,"")</f>
        <v>0.19924800530219991</v>
      </c>
      <c r="C39" s="73">
        <f>IFERROR('1C-Analiza_fin_extinsa'!H50,"")</f>
        <v>9.9243751327844618E-2</v>
      </c>
      <c r="D39" s="73" t="str">
        <f>IFERROR('1C-Analiza_fin_extinsa'!I50,"")</f>
        <v/>
      </c>
    </row>
    <row r="40" spans="1:4" x14ac:dyDescent="0.3">
      <c r="A40" s="71" t="s">
        <v>191</v>
      </c>
      <c r="B40" s="73">
        <f>IFERROR('1C-Analiza_fin_extinsa'!G49,"")</f>
        <v>0.15753085160921201</v>
      </c>
      <c r="C40" s="73">
        <f>IFERROR('1C-Analiza_fin_extinsa'!H49,"")</f>
        <v>4.0893892115165573E-2</v>
      </c>
      <c r="D40" s="73" t="str">
        <f>IFERROR('1C-Analiza_fin_extinsa'!I49,"")</f>
        <v/>
      </c>
    </row>
    <row r="41" spans="1:4" x14ac:dyDescent="0.3">
      <c r="B41" s="108"/>
      <c r="C41" s="108"/>
      <c r="D41" s="108"/>
    </row>
    <row r="42" spans="1:4" x14ac:dyDescent="0.3">
      <c r="A42" s="248" t="s">
        <v>192</v>
      </c>
      <c r="B42" s="271">
        <f>'1A-Bilant'!B5</f>
        <v>2018</v>
      </c>
      <c r="C42" s="271">
        <f>'1A-Bilant'!C5</f>
        <v>2019</v>
      </c>
      <c r="D42" s="271" t="str">
        <f>'1A-Bilant'!D5</f>
        <v>AN</v>
      </c>
    </row>
    <row r="43" spans="1:4" x14ac:dyDescent="0.3">
      <c r="A43" s="71" t="s">
        <v>193</v>
      </c>
      <c r="B43" s="110">
        <f>'1B-ContPP'!B55</f>
        <v>491331</v>
      </c>
      <c r="C43" s="110">
        <f>'1B-ContPP'!C55</f>
        <v>68110</v>
      </c>
      <c r="D43" s="110">
        <f>'1B-ContPP'!D55</f>
        <v>0</v>
      </c>
    </row>
    <row r="44" spans="1:4" x14ac:dyDescent="0.3">
      <c r="A44" s="71" t="s">
        <v>194</v>
      </c>
      <c r="B44" s="110">
        <f>'1C-Analiza_fin_extinsa'!B49-'1C-Analiza_fin_extinsa'!B45</f>
        <v>556180</v>
      </c>
      <c r="C44" s="110">
        <f>'1C-Analiza_fin_extinsa'!C49-'1C-Analiza_fin_extinsa'!C45</f>
        <v>142822</v>
      </c>
      <c r="D44" s="110">
        <f>'1C-Analiza_fin_extinsa'!D49-'1C-Analiza_fin_extinsa'!D45</f>
        <v>0</v>
      </c>
    </row>
    <row r="45" spans="1:4" x14ac:dyDescent="0.3">
      <c r="A45" s="234" t="s">
        <v>195</v>
      </c>
      <c r="B45" s="235">
        <f>IF(B43&lt;0,"nu se calculeaza",IFERROR('1C-Analiza_fin_extinsa'!B47/'1C-Analiza_fin_extinsa'!B21,""))</f>
        <v>0.27599500510331043</v>
      </c>
      <c r="C45" s="235">
        <f>IF(C43&lt;0,"nu se calculeaza",IFERROR('1C-Analiza_fin_extinsa'!C47/'1C-Analiza_fin_extinsa'!C21,""))</f>
        <v>6.4927822491851847E-2</v>
      </c>
      <c r="D45" s="235" t="str">
        <f>IF(D43&lt;0,"nu se calculeaza",IFERROR('1C-Analiza_fin_extinsa'!D47/'1C-Analiza_fin_extinsa'!D21,""))</f>
        <v/>
      </c>
    </row>
    <row r="46" spans="1:4" x14ac:dyDescent="0.3">
      <c r="A46" s="71" t="s">
        <v>196</v>
      </c>
      <c r="B46" s="72"/>
      <c r="C46" s="72"/>
      <c r="D46" s="72"/>
    </row>
    <row r="47" spans="1:4" x14ac:dyDescent="0.3">
      <c r="A47" s="71" t="s">
        <v>197</v>
      </c>
      <c r="B47" s="73">
        <f>IF(B43&lt;0,"nu se calculeaza",IFERROR('1C-Analiza_fin_extinsa'!G47,""))</f>
        <v>0.1391632040922107</v>
      </c>
      <c r="C47" s="73">
        <f>IF(C43&lt;0,"nu se calculeaza",IFERROR('1C-Analiza_fin_extinsa'!H47,""))</f>
        <v>1.9501778381229275E-2</v>
      </c>
      <c r="D47" s="73" t="str">
        <f>IF(D43&lt;0,"nu se calculeaza",IFERROR('1C-Analiza_fin_extinsa'!I47,""))</f>
        <v/>
      </c>
    </row>
    <row r="48" spans="1:4" x14ac:dyDescent="0.3">
      <c r="A48" s="71" t="s">
        <v>198</v>
      </c>
      <c r="B48" s="80">
        <f>IFERROR('1C-Analiza_fin_extinsa'!B25/'1C-Analiza_fin_extinsa'!B10,"")</f>
        <v>1.9832469861820217</v>
      </c>
      <c r="C48" s="80">
        <f>IFERROR('1C-Analiza_fin_extinsa'!C25/'1C-Analiza_fin_extinsa'!C10,"")</f>
        <v>3.3293282911237347</v>
      </c>
      <c r="D48" s="80" t="str">
        <f>IFERROR('1C-Analiza_fin_extinsa'!D25/'1C-Analiza_fin_extinsa'!D10,"")</f>
        <v/>
      </c>
    </row>
    <row r="49" spans="1:4" x14ac:dyDescent="0.3">
      <c r="A49" s="234" t="s">
        <v>199</v>
      </c>
      <c r="B49" s="235">
        <f>IF(B43&lt;0,"nu se calculeaza",IFERROR('1C-Analiza_fin_extinsa'!B47/'1C-Analiza_fin_extinsa'!B20,""))</f>
        <v>0.579857222266151</v>
      </c>
      <c r="C49" s="235">
        <f>IF(C43&lt;0,"nu se calculeaza",IFERROR('1C-Analiza_fin_extinsa'!C47/'1C-Analiza_fin_extinsa'!C20,""))</f>
        <v>0.99648866130212144</v>
      </c>
      <c r="D49" s="235" t="str">
        <f>IF(D43&lt;0,"nu se calculeaza",IFERROR('1C-Analiza_fin_extinsa'!D47/'1C-Analiza_fin_extinsa'!D20,""))</f>
        <v/>
      </c>
    </row>
    <row r="50" spans="1:4" ht="24" customHeight="1" x14ac:dyDescent="0.3">
      <c r="A50" s="71" t="s">
        <v>200</v>
      </c>
      <c r="B50" s="72"/>
      <c r="C50" s="72"/>
      <c r="D50" s="72"/>
    </row>
    <row r="51" spans="1:4" x14ac:dyDescent="0.3">
      <c r="A51" s="71" t="s">
        <v>197</v>
      </c>
      <c r="B51" s="73">
        <f t="shared" ref="B51:D52" si="0">B47</f>
        <v>0.1391632040922107</v>
      </c>
      <c r="C51" s="73">
        <f t="shared" si="0"/>
        <v>1.9501778381229275E-2</v>
      </c>
      <c r="D51" s="73" t="str">
        <f t="shared" si="0"/>
        <v/>
      </c>
    </row>
    <row r="52" spans="1:4" x14ac:dyDescent="0.3">
      <c r="A52" s="71" t="s">
        <v>198</v>
      </c>
      <c r="B52" s="80">
        <f t="shared" si="0"/>
        <v>1.9832469861820217</v>
      </c>
      <c r="C52" s="80">
        <f t="shared" si="0"/>
        <v>3.3293282911237347</v>
      </c>
      <c r="D52" s="80" t="str">
        <f t="shared" si="0"/>
        <v/>
      </c>
    </row>
    <row r="53" spans="1:4" x14ac:dyDescent="0.3">
      <c r="A53" s="71" t="s">
        <v>201</v>
      </c>
      <c r="B53" s="80">
        <f>IFERROR('1C-Analiza_fin_extinsa'!B21/'1C-Analiza_fin_extinsa'!B20,"")</f>
        <v>2.1009699869354477</v>
      </c>
      <c r="C53" s="80">
        <f>IFERROR('1C-Analiza_fin_extinsa'!C21/'1C-Analiza_fin_extinsa'!C20,"")</f>
        <v>15.347637161667885</v>
      </c>
      <c r="D53" s="80" t="str">
        <f>IFERROR('1C-Analiza_fin_extinsa'!D21/'1C-Analiza_fin_extinsa'!D20,"")</f>
        <v/>
      </c>
    </row>
    <row r="54" spans="1:4" ht="27.6" customHeight="1" x14ac:dyDescent="0.3">
      <c r="A54" s="248" t="s">
        <v>202</v>
      </c>
      <c r="B54" s="73">
        <f>IF(B44&lt;0,"nu se calculeaza",IFERROR(('1C-Analiza_fin_extinsa'!B49-'1C-Analiza_fin_extinsa'!B45)/('1C-Analiza_fin_extinsa'!B20+'1C-Analiza_fin_extinsa'!B16),""))</f>
        <v>0.65393858729136001</v>
      </c>
      <c r="C54" s="73">
        <f>IF(C44&lt;0,"nu se calculeaza",IFERROR(('1C-Analiza_fin_extinsa'!C49-'1C-Analiza_fin_extinsa'!C45)/('1C-Analiza_fin_extinsa'!C20+'1C-Analiza_fin_extinsa'!C16),""))</f>
        <v>0.47015254560896447</v>
      </c>
      <c r="D54" s="73" t="str">
        <f>IF(D44&lt;0,"nu se calculeaza",IFERROR(('1C-Analiza_fin_extinsa'!D49-'1C-Analiza_fin_extinsa'!D45)/('1C-Analiza_fin_extinsa'!D20+'1C-Analiza_fin_extinsa'!D16),""))</f>
        <v/>
      </c>
    </row>
    <row r="55" spans="1:4" ht="27.6" customHeight="1" x14ac:dyDescent="0.3">
      <c r="A55" s="71" t="s">
        <v>203</v>
      </c>
      <c r="B55" s="72"/>
      <c r="C55" s="72"/>
      <c r="D55" s="72"/>
    </row>
    <row r="56" spans="1:4" s="63" customFormat="1" ht="15" customHeight="1" x14ac:dyDescent="0.3">
      <c r="A56" s="71" t="s">
        <v>204</v>
      </c>
      <c r="B56" s="73">
        <f>IF(B44&lt;0,"nu se calculeaza",IFERROR(('1C-Analiza_fin_extinsa'!B49-'1C-Analiza_fin_extinsa'!B45)/'1C-Analiza_fin_extinsa'!B25,""))</f>
        <v>0.15753085160921201</v>
      </c>
      <c r="C56" s="73">
        <f>IF(C44&lt;0,"nu se calculeaza",IFERROR(('1C-Analiza_fin_extinsa'!C49-'1C-Analiza_fin_extinsa'!C45)/'1C-Analiza_fin_extinsa'!C25,""))</f>
        <v>4.0893892115165573E-2</v>
      </c>
      <c r="D56" s="73" t="str">
        <f>IF(D44&lt;0,"nu se calculeaza",IFERROR(('1C-Analiza_fin_extinsa'!D49-'1C-Analiza_fin_extinsa'!D45)/'1C-Analiza_fin_extinsa'!D25,""))</f>
        <v/>
      </c>
    </row>
    <row r="57" spans="1:4" x14ac:dyDescent="0.3">
      <c r="A57" s="71" t="s">
        <v>198</v>
      </c>
      <c r="B57" s="80">
        <f>B48</f>
        <v>1.9832469861820217</v>
      </c>
      <c r="C57" s="80">
        <f>C48</f>
        <v>3.3293282911237347</v>
      </c>
      <c r="D57" s="80" t="str">
        <f>D48</f>
        <v/>
      </c>
    </row>
    <row r="58" spans="1:4" x14ac:dyDescent="0.3">
      <c r="A58" s="71" t="s">
        <v>205</v>
      </c>
      <c r="B58" s="80">
        <f>IFERROR(('1C-Analiza_fin_extinsa'!B21/('1C-Analiza_fin_extinsa'!B20+'1C-Analiza_fin_extinsa'!B16)),"")</f>
        <v>2.0931219929736109</v>
      </c>
      <c r="C58" s="80">
        <f>IFERROR(('1C-Analiza_fin_extinsa'!C21/('1C-Analiza_fin_extinsa'!C20+'1C-Analiza_fin_extinsa'!C16)),"")</f>
        <v>3.4532158352481086</v>
      </c>
      <c r="D58" s="80" t="str">
        <f>IFERROR(('1C-Analiza_fin_extinsa'!D21/('1C-Analiza_fin_extinsa'!D20+'1C-Analiza_fin_extinsa'!D16)),"")</f>
        <v/>
      </c>
    </row>
    <row r="59" spans="1:4" x14ac:dyDescent="0.3">
      <c r="A59" s="248" t="s">
        <v>206</v>
      </c>
      <c r="B59" s="74">
        <f>IFERROR(B49-B54,"")</f>
        <v>-7.4081365025209012E-2</v>
      </c>
      <c r="C59" s="74">
        <f>IFERROR(C49-C54,"")</f>
        <v>0.52633611569315697</v>
      </c>
      <c r="D59" s="74" t="str">
        <f>IFERROR(D49-D54,"")</f>
        <v/>
      </c>
    </row>
    <row r="60" spans="1:4" s="63" customFormat="1" ht="15" customHeight="1" x14ac:dyDescent="0.3">
      <c r="A60" s="107"/>
      <c r="B60" s="246"/>
      <c r="C60" s="246"/>
      <c r="D60" s="246"/>
    </row>
    <row r="61" spans="1:4" x14ac:dyDescent="0.3">
      <c r="A61" s="248" t="s">
        <v>207</v>
      </c>
      <c r="B61" s="271">
        <f>'1A-Bilant'!B5</f>
        <v>2018</v>
      </c>
      <c r="C61" s="271">
        <f>'1A-Bilant'!C5</f>
        <v>2019</v>
      </c>
      <c r="D61" s="271" t="str">
        <f>'1A-Bilant'!D5</f>
        <v>AN</v>
      </c>
    </row>
    <row r="62" spans="1:4" x14ac:dyDescent="0.3">
      <c r="A62" s="71" t="s">
        <v>208</v>
      </c>
      <c r="B62" s="75">
        <f>IFERROR(('1C-Analiza_fin_extinsa'!B21*360)/'1C-Analiza_fin_extinsa'!B25,"")</f>
        <v>181.52050778760611</v>
      </c>
      <c r="C62" s="75">
        <f>IFERROR(('1C-Analiza_fin_extinsa'!C21*360)/'1C-Analiza_fin_extinsa'!C25,"")</f>
        <v>108.12991946747633</v>
      </c>
      <c r="D62" s="75" t="str">
        <f>IFERROR(('1C-Analiza_fin_extinsa'!D21*360)/'1C-Analiza_fin_extinsa'!D25,"")</f>
        <v/>
      </c>
    </row>
    <row r="63" spans="1:4" s="63" customFormat="1" ht="27.6" customHeight="1" x14ac:dyDescent="0.3">
      <c r="A63" s="71" t="s">
        <v>209</v>
      </c>
      <c r="B63" s="75">
        <f>IFERROR(('1C-Analiza_fin_extinsa'!B4*360)/'1C-Analiza_fin_extinsa'!B25,"")</f>
        <v>64.896479645160468</v>
      </c>
      <c r="C63" s="75">
        <f>IFERROR(('1C-Analiza_fin_extinsa'!C4*360)/'1C-Analiza_fin_extinsa'!C25,"")</f>
        <v>80.219808034469267</v>
      </c>
      <c r="D63" s="75" t="str">
        <f>IFERROR(('1C-Analiza_fin_extinsa'!D4*360)/'1C-Analiza_fin_extinsa'!D25,"")</f>
        <v/>
      </c>
    </row>
    <row r="64" spans="1:4" x14ac:dyDescent="0.3">
      <c r="A64" s="71" t="s">
        <v>210</v>
      </c>
      <c r="B64" s="75">
        <f>IFERROR(('1C-Analiza_fin_extinsa'!B5*360)/'1C-Analiza_fin_extinsa'!B25,"")</f>
        <v>116.62402814244564</v>
      </c>
      <c r="C64" s="75">
        <f>IFERROR(('1C-Analiza_fin_extinsa'!C5*360)/'1C-Analiza_fin_extinsa'!C25,"")</f>
        <v>27.910111433007053</v>
      </c>
      <c r="D64" s="75" t="str">
        <f>IFERROR(('1C-Analiza_fin_extinsa'!D5*360)/'1C-Analiza_fin_extinsa'!D25,"")</f>
        <v/>
      </c>
    </row>
    <row r="65" spans="1:4" x14ac:dyDescent="0.3">
      <c r="A65" s="71" t="s">
        <v>211</v>
      </c>
      <c r="B65" s="75">
        <f>IFERROR(('1C-Analiza_fin_extinsa'!B6*360)/'1C-Analiza_fin_extinsa'!B25,"")</f>
        <v>6.719416758010655</v>
      </c>
      <c r="C65" s="75">
        <f>IFERROR(('1C-Analiza_fin_extinsa'!C6*360)/'1C-Analiza_fin_extinsa'!C25,"")</f>
        <v>8.9857185479063428</v>
      </c>
      <c r="D65" s="75" t="str">
        <f>IFERROR(('1C-Analiza_fin_extinsa'!D6*360)/'1C-Analiza_fin_extinsa'!D25,"")</f>
        <v/>
      </c>
    </row>
    <row r="66" spans="1:4" x14ac:dyDescent="0.3">
      <c r="A66" s="71" t="s">
        <v>212</v>
      </c>
      <c r="B66" s="75">
        <f>IFERROR(('1C-Analiza_fin_extinsa'!B7*360)/'1C-Analiza_fin_extinsa'!B25,"")</f>
        <v>14.066226516097785</v>
      </c>
      <c r="C66" s="75">
        <f>IFERROR(('1C-Analiza_fin_extinsa'!C7*360)/'1C-Analiza_fin_extinsa'!C25,"")</f>
        <v>15.547352585624861</v>
      </c>
      <c r="D66" s="75" t="str">
        <f>IFERROR(('1C-Analiza_fin_extinsa'!D7*360)/'1C-Analiza_fin_extinsa'!D25,"")</f>
        <v/>
      </c>
    </row>
    <row r="67" spans="1:4" x14ac:dyDescent="0.3">
      <c r="A67" s="71" t="s">
        <v>213</v>
      </c>
      <c r="B67" s="75">
        <f>IFERROR(('1C-Analiza_fin_extinsa'!B13*360)/'1C-Analiza_fin_extinsa'!B25,"")</f>
        <v>7.673506844426317</v>
      </c>
      <c r="C67" s="75">
        <f>IFERROR(('1C-Analiza_fin_extinsa'!C13*360)/'1C-Analiza_fin_extinsa'!C25,"")</f>
        <v>13.190371830853641</v>
      </c>
      <c r="D67" s="75" t="str">
        <f>IFERROR(('1C-Analiza_fin_extinsa'!D13*360)/'1C-Analiza_fin_extinsa'!D25,"")</f>
        <v/>
      </c>
    </row>
    <row r="68" spans="1:4" s="76" customFormat="1" ht="15.6" customHeight="1" x14ac:dyDescent="0.3">
      <c r="A68" s="248" t="s">
        <v>214</v>
      </c>
      <c r="B68" s="271">
        <f>'1A-Bilant'!B5</f>
        <v>2018</v>
      </c>
      <c r="C68" s="271">
        <f>'1A-Bilant'!C5</f>
        <v>2019</v>
      </c>
      <c r="D68" s="271" t="str">
        <f>'1A-Bilant'!D5</f>
        <v>AN</v>
      </c>
    </row>
    <row r="69" spans="1:4" x14ac:dyDescent="0.3">
      <c r="A69" s="71" t="s">
        <v>215</v>
      </c>
      <c r="B69" s="80">
        <f>IFERROR('1C-Analiza_fin_extinsa'!B25/'1C-Analiza_fin_extinsa'!B21,"")</f>
        <v>1.9832469861820217</v>
      </c>
      <c r="C69" s="80">
        <f>IFERROR('1C-Analiza_fin_extinsa'!C25/'1C-Analiza_fin_extinsa'!C21,"")</f>
        <v>3.3293282911237347</v>
      </c>
      <c r="D69" s="80" t="str">
        <f>IFERROR('1C-Analiza_fin_extinsa'!D25/'1C-Analiza_fin_extinsa'!D21,"")</f>
        <v/>
      </c>
    </row>
    <row r="70" spans="1:4" s="63" customFormat="1" ht="15" customHeight="1" x14ac:dyDescent="0.3">
      <c r="A70" s="71" t="s">
        <v>216</v>
      </c>
      <c r="B70" s="80">
        <f>IFERROR('1C-Analiza_fin_extinsa'!B25/'1C-Analiza_fin_extinsa'!B4,"")</f>
        <v>5.5472962781402018</v>
      </c>
      <c r="C70" s="80">
        <f>IFERROR('1C-Analiza_fin_extinsa'!C25/'1C-Analiza_fin_extinsa'!C4,"")</f>
        <v>4.4876696768622697</v>
      </c>
      <c r="D70" s="80" t="str">
        <f>IFERROR('1C-Analiza_fin_extinsa'!D25/'1C-Analiza_fin_extinsa'!D4,"")</f>
        <v/>
      </c>
    </row>
    <row r="71" spans="1:4" s="63" customFormat="1" ht="15" customHeight="1" x14ac:dyDescent="0.3">
      <c r="A71" s="71" t="s">
        <v>217</v>
      </c>
      <c r="B71" s="80">
        <f>IFERROR('1C-Analiza_fin_extinsa'!B25/'1C-Analiza_fin_extinsa'!B5,"")</f>
        <v>3.0868424434825106</v>
      </c>
      <c r="C71" s="80">
        <f>IFERROR('1C-Analiza_fin_extinsa'!C25/'1C-Analiza_fin_extinsa'!C5,"")</f>
        <v>12.898551152836202</v>
      </c>
      <c r="D71" s="80" t="str">
        <f>IFERROR('1C-Analiza_fin_extinsa'!D25/'1C-Analiza_fin_extinsa'!D5,"")</f>
        <v/>
      </c>
    </row>
    <row r="72" spans="1:4" s="63" customFormat="1" ht="15" customHeight="1" x14ac:dyDescent="0.3">
      <c r="A72" s="71" t="s">
        <v>218</v>
      </c>
      <c r="B72" s="80">
        <f>IFERROR('1C-Analiza_fin_extinsa'!B25/'1C-Analiza_fin_extinsa'!B6,"")</f>
        <v>53.57607854443922</v>
      </c>
      <c r="C72" s="80">
        <f>IFERROR('1C-Analiza_fin_extinsa'!C25/'1C-Analiza_fin_extinsa'!C6,"")</f>
        <v>40.063574001422445</v>
      </c>
      <c r="D72" s="80" t="str">
        <f>IFERROR('1C-Analiza_fin_extinsa'!D25/'1C-Analiza_fin_extinsa'!D6,"")</f>
        <v/>
      </c>
    </row>
    <row r="73" spans="1:4" s="63" customFormat="1" ht="15" customHeight="1" x14ac:dyDescent="0.3">
      <c r="A73" s="71" t="s">
        <v>219</v>
      </c>
      <c r="B73" s="80">
        <f>IFERROR('1C-Analiza_fin_extinsa'!B25/'1C-Analiza_fin_extinsa'!B7,"")</f>
        <v>25.593217881711624</v>
      </c>
      <c r="C73" s="80">
        <f>IFERROR('1C-Analiza_fin_extinsa'!C25/'1C-Analiza_fin_extinsa'!C7,"")</f>
        <v>23.155067592205846</v>
      </c>
      <c r="D73" s="80" t="str">
        <f>IFERROR('1C-Analiza_fin_extinsa'!D25/'1C-Analiza_fin_extinsa'!D7,"")</f>
        <v/>
      </c>
    </row>
    <row r="74" spans="1:4" s="63" customFormat="1" ht="15" customHeight="1" x14ac:dyDescent="0.3">
      <c r="A74" s="71" t="s">
        <v>220</v>
      </c>
      <c r="B74" s="80">
        <f>IFERROR('1C-Analiza_fin_extinsa'!B25/'1C-Analiza_fin_extinsa'!B13,"")</f>
        <v>46.91466461145955</v>
      </c>
      <c r="C74" s="80">
        <f>IFERROR('1C-Analiza_fin_extinsa'!C25/'1C-Analiza_fin_extinsa'!C13,"")</f>
        <v>27.292634704802094</v>
      </c>
      <c r="D74" s="80" t="str">
        <f>IFERROR('1C-Analiza_fin_extinsa'!D25/'1C-Analiza_fin_extinsa'!D13,"")</f>
        <v/>
      </c>
    </row>
    <row r="75" spans="1:4" s="63" customFormat="1" ht="15" hidden="1" customHeight="1" x14ac:dyDescent="0.3">
      <c r="A75" s="77" t="s">
        <v>221</v>
      </c>
      <c r="B75" s="246"/>
      <c r="C75" s="246"/>
      <c r="D75" s="246"/>
    </row>
    <row r="76" spans="1:4" s="63" customFormat="1" ht="15" hidden="1" customHeight="1" x14ac:dyDescent="0.3">
      <c r="A76" s="107" t="s">
        <v>222</v>
      </c>
      <c r="B76" s="108">
        <f>'1C-Analiza_fin_extinsa'!B21/'1C-Analiza_fin_extinsa'!B25</f>
        <v>0.50422363274335025</v>
      </c>
      <c r="C76" s="108">
        <f>'1C-Analiza_fin_extinsa'!C21/'1C-Analiza_fin_extinsa'!C25</f>
        <v>0.30036088740965644</v>
      </c>
      <c r="D76" s="108" t="e">
        <f>'1C-Analiza_fin_extinsa'!D21/'1C-Analiza_fin_extinsa'!D25</f>
        <v>#DIV/0!</v>
      </c>
    </row>
    <row r="77" spans="1:4" s="63" customFormat="1" ht="15" hidden="1" customHeight="1" x14ac:dyDescent="0.3">
      <c r="A77" s="107" t="s">
        <v>223</v>
      </c>
      <c r="B77" s="108">
        <f>'1C-Analiza_fin_extinsa'!B4/'1C-Analiza_fin_extinsa'!B25</f>
        <v>0.18026799901433463</v>
      </c>
      <c r="C77" s="108">
        <f>'1C-Analiza_fin_extinsa'!C4/'1C-Analiza_fin_extinsa'!C25</f>
        <v>0.22283280009574799</v>
      </c>
      <c r="D77" s="108" t="e">
        <f>'1C-Analiza_fin_extinsa'!D4/'1C-Analiza_fin_extinsa'!D25</f>
        <v>#DIV/0!</v>
      </c>
    </row>
    <row r="78" spans="1:4" s="63" customFormat="1" ht="15" hidden="1" customHeight="1" x14ac:dyDescent="0.3">
      <c r="A78" s="107" t="s">
        <v>224</v>
      </c>
      <c r="B78" s="108">
        <f>'1C-Analiza_fin_extinsa'!B5/'1C-Analiza_fin_extinsa'!B25</f>
        <v>0.32395563372901565</v>
      </c>
      <c r="C78" s="108">
        <f>'1C-Analiza_fin_extinsa'!C5/'1C-Analiza_fin_extinsa'!C25</f>
        <v>7.7528087313908478E-2</v>
      </c>
      <c r="D78" s="108" t="e">
        <f>'1C-Analiza_fin_extinsa'!D5/'1C-Analiza_fin_extinsa'!D25</f>
        <v>#DIV/0!</v>
      </c>
    </row>
    <row r="79" spans="1:4" s="63" customFormat="1" ht="15" hidden="1" customHeight="1" x14ac:dyDescent="0.3">
      <c r="A79" s="107" t="s">
        <v>225</v>
      </c>
      <c r="B79" s="108">
        <f>'1C-Analiza_fin_extinsa'!B6/'1C-Analiza_fin_extinsa'!B25</f>
        <v>1.8665046550029599E-2</v>
      </c>
      <c r="C79" s="108">
        <f>'1C-Analiza_fin_extinsa'!C6/'1C-Analiza_fin_extinsa'!C25</f>
        <v>2.4960329299739844E-2</v>
      </c>
      <c r="D79" s="108" t="e">
        <f>'1C-Analiza_fin_extinsa'!D6/'1C-Analiza_fin_extinsa'!D25</f>
        <v>#DIV/0!</v>
      </c>
    </row>
    <row r="80" spans="1:4" s="63" customFormat="1" ht="15" hidden="1" customHeight="1" x14ac:dyDescent="0.3">
      <c r="A80" s="107" t="s">
        <v>226</v>
      </c>
      <c r="B80" s="108">
        <f>'1C-Analiza_fin_extinsa'!B7/'1C-Analiza_fin_extinsa'!B25</f>
        <v>3.9072851433604956E-2</v>
      </c>
      <c r="C80" s="108">
        <f>'1C-Analiza_fin_extinsa'!C7/'1C-Analiza_fin_extinsa'!C25</f>
        <v>4.3187090515624617E-2</v>
      </c>
      <c r="D80" s="108" t="e">
        <f>'1C-Analiza_fin_extinsa'!D7/'1C-Analiza_fin_extinsa'!D25</f>
        <v>#DIV/0!</v>
      </c>
    </row>
    <row r="81" spans="1:6" s="63" customFormat="1" ht="15" hidden="1" customHeight="1" x14ac:dyDescent="0.3">
      <c r="A81" s="107" t="s">
        <v>227</v>
      </c>
      <c r="B81" s="108">
        <f>'1C-Analiza_fin_extinsa'!B13/'1C-Analiza_fin_extinsa'!B25</f>
        <v>2.1315296790073105E-2</v>
      </c>
      <c r="C81" s="108">
        <f>'1C-Analiza_fin_extinsa'!C13/'1C-Analiza_fin_extinsa'!C25</f>
        <v>3.663992175237122E-2</v>
      </c>
      <c r="D81" s="108" t="e">
        <f>'1C-Analiza_fin_extinsa'!D13/'1C-Analiza_fin_extinsa'!D25</f>
        <v>#DIV/0!</v>
      </c>
    </row>
    <row r="82" spans="1:6" s="63" customFormat="1" ht="15" hidden="1" customHeight="1" x14ac:dyDescent="0.3">
      <c r="A82" s="78" t="s">
        <v>228</v>
      </c>
      <c r="B82" s="79">
        <f>'1C-Analiza_fin_extinsa'!B9/'1C-Analiza_fin_extinsa'!B25</f>
        <v>0.2662177357453811</v>
      </c>
      <c r="C82" s="79">
        <f>'1C-Analiza_fin_extinsa'!C9/'1C-Analiza_fin_extinsa'!C25</f>
        <v>9.3806674985440243E-3</v>
      </c>
      <c r="D82" s="79" t="e">
        <f>'1C-Analiza_fin_extinsa'!D9/'1C-Analiza_fin_extinsa'!D25</f>
        <v>#DIV/0!</v>
      </c>
    </row>
    <row r="84" spans="1:6" x14ac:dyDescent="0.3">
      <c r="A84" s="248" t="s">
        <v>229</v>
      </c>
      <c r="B84" s="271">
        <f>'1A-Bilant'!B5</f>
        <v>2018</v>
      </c>
      <c r="C84" s="271">
        <f>'1A-Bilant'!C5</f>
        <v>2019</v>
      </c>
      <c r="D84" s="271" t="str">
        <f>'1A-Bilant'!D5</f>
        <v>AN</v>
      </c>
    </row>
    <row r="85" spans="1:6" x14ac:dyDescent="0.3">
      <c r="A85" s="232" t="s">
        <v>230</v>
      </c>
      <c r="B85" s="233">
        <f>IFERROR('1C-Analiza_fin_extinsa'!B5/'1C-Analiza_fin_extinsa'!B11,"")</f>
        <v>1.2302354822853172</v>
      </c>
      <c r="C85" s="233">
        <f>IFERROR('1C-Analiza_fin_extinsa'!C5/'1C-Analiza_fin_extinsa'!C11,"")</f>
        <v>0.36333200488974587</v>
      </c>
      <c r="D85" s="233" t="str">
        <f>IFERROR('1C-Analiza_fin_extinsa'!D5/'1C-Analiza_fin_extinsa'!D11,"")</f>
        <v/>
      </c>
      <c r="F85" s="231"/>
    </row>
    <row r="86" spans="1:6" x14ac:dyDescent="0.3">
      <c r="A86" s="71" t="s">
        <v>231</v>
      </c>
      <c r="B86" s="80">
        <f>IFERROR(('1C-Analiza_fin_extinsa'!B5-'1C-Analiza_fin_extinsa'!B6)/'1C-Analiza_fin_extinsa'!B11,"")</f>
        <v>1.1593541635070759</v>
      </c>
      <c r="C86" s="80">
        <f>IFERROR(('1C-Analiza_fin_extinsa'!C5-'1C-Analiza_fin_extinsa'!C6)/'1C-Analiza_fin_extinsa'!C11,"")</f>
        <v>0.24635650863555425</v>
      </c>
      <c r="D86" s="80" t="str">
        <f>IFERROR(('1C-Analiza_fin_extinsa'!D5-'1C-Analiza_fin_extinsa'!D6)/'1C-Analiza_fin_extinsa'!D11,"")</f>
        <v/>
      </c>
    </row>
    <row r="87" spans="1:6" x14ac:dyDescent="0.3">
      <c r="A87" s="71" t="s">
        <v>232</v>
      </c>
      <c r="B87" s="80">
        <f>IFERROR('1C-Analiza_fin_extinsa'!B9/'1C-Analiza_fin_extinsa'!B11,"")</f>
        <v>1.0109733260622409</v>
      </c>
      <c r="C87" s="80">
        <f>IFERROR('1C-Analiza_fin_extinsa'!C9/'1C-Analiza_fin_extinsa'!C11,"")</f>
        <v>4.3962089708856157E-2</v>
      </c>
      <c r="D87" s="80" t="str">
        <f>IFERROR('1C-Analiza_fin_extinsa'!D9/'1C-Analiza_fin_extinsa'!D11,"")</f>
        <v/>
      </c>
    </row>
    <row r="89" spans="1:6" x14ac:dyDescent="0.3">
      <c r="A89" s="109" t="s">
        <v>233</v>
      </c>
      <c r="B89" s="271">
        <f>'1A-Bilant'!B5</f>
        <v>2018</v>
      </c>
      <c r="C89" s="271">
        <f>'1A-Bilant'!C5</f>
        <v>2019</v>
      </c>
      <c r="D89" s="271" t="str">
        <f>'1A-Bilant'!D5</f>
        <v>AN</v>
      </c>
    </row>
    <row r="90" spans="1:6" x14ac:dyDescent="0.3">
      <c r="A90" s="71" t="s">
        <v>234</v>
      </c>
      <c r="B90" s="80">
        <f>IFERROR('1C-Analiza_fin_extinsa'!B10/'1C-Analiza_fin_extinsa'!B11,"")</f>
        <v>1.914810978488968</v>
      </c>
      <c r="C90" s="80">
        <f>IFERROR('1C-Analiza_fin_extinsa'!C10/'1C-Analiza_fin_extinsa'!C11,"")</f>
        <v>1.4076282182887767</v>
      </c>
      <c r="D90" s="80" t="str">
        <f>IFERROR('1C-Analiza_fin_extinsa'!D10/'1C-Analiza_fin_extinsa'!D11,"")</f>
        <v/>
      </c>
    </row>
    <row r="91" spans="1:6" x14ac:dyDescent="0.3">
      <c r="A91" s="232" t="s">
        <v>235</v>
      </c>
      <c r="B91" s="233">
        <f>IFERROR('1C-Analiza_fin_extinsa'!B10/('1C-Analiza_fin_extinsa'!B11+'1C-Analiza_fin_extinsa'!B16),"")</f>
        <v>1.9082899732657581</v>
      </c>
      <c r="C91" s="233">
        <f>IFERROR('1C-Analiza_fin_extinsa'!C10/('1C-Analiza_fin_extinsa'!C11+'1C-Analiza_fin_extinsa'!C16),"")</f>
        <v>1.0696978874453047</v>
      </c>
      <c r="D91" s="233" t="str">
        <f>IFERROR('1C-Analiza_fin_extinsa'!D10/('1C-Analiza_fin_extinsa'!D11+'1C-Analiza_fin_extinsa'!D16),"")</f>
        <v/>
      </c>
    </row>
    <row r="92" spans="1:6" ht="27.6" customHeight="1" x14ac:dyDescent="0.3">
      <c r="A92" s="71" t="s">
        <v>236</v>
      </c>
      <c r="B92" s="80">
        <f>IFERROR('1C-Analiza_fin_extinsa'!B20/('1C-Analiza_fin_extinsa'!B20+'1C-Analiza_fin_extinsa'!B16),"")</f>
        <v>0.99626458540072527</v>
      </c>
      <c r="C92" s="80">
        <f>IFERROR('1C-Analiza_fin_extinsa'!C20/('1C-Analiza_fin_extinsa'!C20+'1C-Analiza_fin_extinsa'!C16),"")</f>
        <v>0.22499983540611895</v>
      </c>
      <c r="D92" s="80" t="str">
        <f>IFERROR('1C-Analiza_fin_extinsa'!D20/('1C-Analiza_fin_extinsa'!D20+'1C-Analiza_fin_extinsa'!D16),"")</f>
        <v/>
      </c>
    </row>
    <row r="93" spans="1:6" x14ac:dyDescent="0.3">
      <c r="A93" s="71" t="s">
        <v>237</v>
      </c>
      <c r="B93" s="73">
        <f>IFERROR('1C-Analiza_fin_extinsa'!B20/'1C-Analiza_fin_extinsa'!B21,"")</f>
        <v>0.47597062605289131</v>
      </c>
      <c r="C93" s="73">
        <f>IFERROR('1C-Analiza_fin_extinsa'!C20/'1C-Analiza_fin_extinsa'!C21,"")</f>
        <v>6.5156609415916514E-2</v>
      </c>
      <c r="D93" s="73" t="str">
        <f>IFERROR('1C-Analiza_fin_extinsa'!D20/'1C-Analiza_fin_extinsa'!D21,"")</f>
        <v/>
      </c>
    </row>
    <row r="94" spans="1:6" x14ac:dyDescent="0.3">
      <c r="A94" s="71" t="s">
        <v>238</v>
      </c>
      <c r="B94" s="73">
        <f>IFERROR('1C-Analiza_fin_extinsa'!B16/'1C-Analiza_fin_extinsa'!B20,"")</f>
        <v>3.7494202383720177E-3</v>
      </c>
      <c r="C94" s="73">
        <f>IFERROR('1C-Analiza_fin_extinsa'!C16/'1C-Analiza_fin_extinsa'!C20,"")</f>
        <v>3.4444476956839796</v>
      </c>
      <c r="D94" s="73" t="str">
        <f>IFERROR('1C-Analiza_fin_extinsa'!D16/'1C-Analiza_fin_extinsa'!D20,"")</f>
        <v/>
      </c>
    </row>
    <row r="95" spans="1:6" x14ac:dyDescent="0.3">
      <c r="A95" s="71" t="s">
        <v>239</v>
      </c>
      <c r="B95" s="73">
        <f>IFERROR('1C-Analiza_fin_extinsa'!B16/'1C-Analiza_fin_extinsa'!B21,"")</f>
        <v>1.7846138981933101E-3</v>
      </c>
      <c r="C95" s="73">
        <f>IFERROR('1C-Analiza_fin_extinsa'!C16/'1C-Analiza_fin_extinsa'!C21,"")</f>
        <v>0.22442853316123473</v>
      </c>
      <c r="D95" s="73" t="str">
        <f>IFERROR('1C-Analiza_fin_extinsa'!D16/'1C-Analiza_fin_extinsa'!D21,"")</f>
        <v/>
      </c>
    </row>
    <row r="96" spans="1:6" ht="15" customHeight="1" x14ac:dyDescent="0.3">
      <c r="A96" s="71" t="s">
        <v>240</v>
      </c>
      <c r="B96" s="73">
        <f>IFERROR('1C-Analiza_fin_extinsa'!B11/'1C-Analiza_fin_extinsa'!B21,"")</f>
        <v>0.5222447600489154</v>
      </c>
      <c r="C96" s="73">
        <f>IFERROR('1C-Analiza_fin_extinsa'!C11/'1C-Analiza_fin_extinsa'!C21,"")</f>
        <v>0.71041485742284871</v>
      </c>
      <c r="D96" s="73" t="str">
        <f>IFERROR('1C-Analiza_fin_extinsa'!D11/'1C-Analiza_fin_extinsa'!D21,"")</f>
        <v/>
      </c>
    </row>
    <row r="97" spans="1:4" x14ac:dyDescent="0.3">
      <c r="A97" s="234" t="s">
        <v>241</v>
      </c>
      <c r="B97" s="235">
        <f>IFERROR(('1C-Analiza_fin_extinsa'!B11+'1C-Analiza_fin_extinsa'!B16)/'1C-Analiza_fin_extinsa'!B21,"")</f>
        <v>0.52402937394710869</v>
      </c>
      <c r="C97" s="235">
        <f>IFERROR(('1C-Analiza_fin_extinsa'!C11+'1C-Analiza_fin_extinsa'!C16)/'1C-Analiza_fin_extinsa'!C21,"")</f>
        <v>0.9348433905840835</v>
      </c>
      <c r="D97" s="235"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70" customWidth="1"/>
    <col min="2" max="4" width="9.109375" style="270" customWidth="1"/>
    <col min="5" max="5" width="15.5546875" style="270" customWidth="1"/>
    <col min="6" max="6" width="49.6640625" style="270" customWidth="1"/>
    <col min="7" max="7" width="9.109375" style="270" customWidth="1"/>
    <col min="8" max="16384" width="9.109375" style="270"/>
  </cols>
  <sheetData>
    <row r="1" spans="1:6" ht="14.4" customHeight="1" x14ac:dyDescent="0.3">
      <c r="A1" s="298" t="s">
        <v>242</v>
      </c>
      <c r="B1" s="298"/>
      <c r="C1" s="298"/>
      <c r="D1" s="298"/>
      <c r="E1" s="81"/>
      <c r="F1" s="81"/>
    </row>
    <row r="2" spans="1:6" x14ac:dyDescent="0.3">
      <c r="A2" s="1"/>
      <c r="B2" s="1"/>
      <c r="C2" s="1"/>
      <c r="D2" s="1"/>
      <c r="E2" s="1"/>
      <c r="F2" s="1"/>
    </row>
    <row r="3" spans="1:6" x14ac:dyDescent="0.3">
      <c r="A3" s="322" t="s">
        <v>243</v>
      </c>
      <c r="B3" s="317"/>
      <c r="C3" s="317"/>
      <c r="D3" s="317"/>
      <c r="E3" s="317"/>
      <c r="F3" s="317"/>
    </row>
    <row r="4" spans="1:6" ht="39" customHeight="1" x14ac:dyDescent="0.3">
      <c r="A4" s="322" t="s">
        <v>244</v>
      </c>
      <c r="B4" s="317"/>
      <c r="C4" s="317"/>
      <c r="D4" s="317"/>
      <c r="E4" s="317"/>
      <c r="F4" s="317"/>
    </row>
    <row r="5" spans="1:6" x14ac:dyDescent="0.3">
      <c r="A5" s="301"/>
      <c r="B5" s="301"/>
      <c r="C5" s="301"/>
      <c r="D5" s="301"/>
      <c r="E5" s="301"/>
      <c r="F5" s="301"/>
    </row>
    <row r="6" spans="1:6" x14ac:dyDescent="0.3">
      <c r="A6" s="338" t="s">
        <v>245</v>
      </c>
      <c r="B6" s="317"/>
      <c r="C6" s="317"/>
      <c r="D6" s="317"/>
      <c r="E6" s="317"/>
      <c r="F6" s="317"/>
    </row>
    <row r="8" spans="1:6" ht="54" customHeight="1" x14ac:dyDescent="0.3">
      <c r="A8" s="2" t="s">
        <v>246</v>
      </c>
      <c r="B8" s="336" t="s">
        <v>247</v>
      </c>
      <c r="C8" s="326"/>
      <c r="D8" s="326"/>
      <c r="E8" s="326"/>
      <c r="F8" s="337"/>
    </row>
    <row r="9" spans="1:6" x14ac:dyDescent="0.3">
      <c r="A9" s="82"/>
      <c r="B9" s="339" t="s">
        <v>248</v>
      </c>
      <c r="C9" s="317"/>
      <c r="D9" s="317"/>
      <c r="E9" s="317"/>
      <c r="F9" s="324"/>
    </row>
    <row r="10" spans="1:6" x14ac:dyDescent="0.3">
      <c r="A10" s="82"/>
      <c r="B10" s="330" t="s">
        <v>249</v>
      </c>
      <c r="C10" s="317"/>
      <c r="D10" s="317"/>
      <c r="E10" s="317"/>
      <c r="F10" s="255">
        <f>'1A-Bilant'!C82</f>
        <v>0</v>
      </c>
    </row>
    <row r="11" spans="1:6" x14ac:dyDescent="0.3">
      <c r="A11" s="82"/>
      <c r="B11" s="330" t="s">
        <v>250</v>
      </c>
      <c r="C11" s="317"/>
      <c r="D11" s="317"/>
      <c r="E11" s="317"/>
      <c r="F11" s="255">
        <f>'1A-Bilant'!C85</f>
        <v>68110</v>
      </c>
    </row>
    <row r="12" spans="1:6" x14ac:dyDescent="0.3">
      <c r="A12" s="82"/>
      <c r="B12" s="331" t="s">
        <v>251</v>
      </c>
      <c r="C12" s="317"/>
      <c r="D12" s="317"/>
      <c r="E12" s="317"/>
      <c r="F12" s="256">
        <f>F10+F11</f>
        <v>68110</v>
      </c>
    </row>
    <row r="13" spans="1:6" ht="27" customHeight="1" x14ac:dyDescent="0.3">
      <c r="A13" s="82"/>
      <c r="B13" s="333" t="s">
        <v>252</v>
      </c>
      <c r="C13" s="317"/>
      <c r="D13" s="317"/>
      <c r="E13" s="317"/>
      <c r="F13" s="324"/>
    </row>
    <row r="14" spans="1:6" ht="25.5" customHeight="1" x14ac:dyDescent="0.3">
      <c r="A14" s="82"/>
      <c r="B14" s="332" t="s">
        <v>253</v>
      </c>
      <c r="C14" s="328"/>
      <c r="D14" s="328"/>
      <c r="E14" s="328"/>
      <c r="F14" s="329"/>
    </row>
    <row r="15" spans="1:6" x14ac:dyDescent="0.3">
      <c r="A15" s="82"/>
      <c r="B15" s="330" t="s">
        <v>254</v>
      </c>
      <c r="C15" s="317"/>
      <c r="D15" s="317"/>
      <c r="E15" s="317"/>
      <c r="F15" s="255">
        <f>'1A-Bilant'!C69</f>
        <v>200</v>
      </c>
    </row>
    <row r="16" spans="1:6" x14ac:dyDescent="0.3">
      <c r="A16" s="82"/>
      <c r="B16" s="330" t="s">
        <v>255</v>
      </c>
      <c r="C16" s="317"/>
      <c r="D16" s="317"/>
      <c r="E16" s="317"/>
      <c r="F16" s="255">
        <f>'1A-Bilant'!C74</f>
        <v>0</v>
      </c>
    </row>
    <row r="17" spans="1:6" x14ac:dyDescent="0.3">
      <c r="A17" s="82"/>
      <c r="B17" s="335" t="s">
        <v>256</v>
      </c>
      <c r="C17" s="317"/>
      <c r="D17" s="317"/>
      <c r="E17" s="317"/>
      <c r="F17" s="255">
        <f>'1A-Bilant'!C75</f>
        <v>0</v>
      </c>
    </row>
    <row r="18" spans="1:6" x14ac:dyDescent="0.3">
      <c r="A18" s="82"/>
      <c r="B18" s="335" t="s">
        <v>257</v>
      </c>
      <c r="C18" s="317"/>
      <c r="D18" s="317"/>
      <c r="E18" s="317"/>
      <c r="F18" s="255">
        <f>'1A-Bilant'!C78</f>
        <v>40</v>
      </c>
    </row>
    <row r="19" spans="1:6" x14ac:dyDescent="0.3">
      <c r="A19" s="82"/>
      <c r="B19" s="334" t="s">
        <v>258</v>
      </c>
      <c r="C19" s="317"/>
      <c r="D19" s="317"/>
      <c r="E19" s="317"/>
      <c r="F19" s="256">
        <f>F12+SUM(F16:F18)</f>
        <v>68150</v>
      </c>
    </row>
    <row r="20" spans="1:6" ht="29.25" customHeight="1" x14ac:dyDescent="0.3">
      <c r="A20" s="82"/>
      <c r="B20" s="327" t="s">
        <v>259</v>
      </c>
      <c r="C20" s="328"/>
      <c r="D20" s="328"/>
      <c r="E20" s="328"/>
      <c r="F20" s="329"/>
    </row>
    <row r="21" spans="1:6" ht="18" customHeight="1" x14ac:dyDescent="0.3">
      <c r="A21" s="82"/>
      <c r="B21" s="300" t="s">
        <v>260</v>
      </c>
      <c r="C21" s="323" t="str">
        <f>CONCATENATE("Solicitantul ",IF(F12&gt;=0,"nu ",IF(F19&gt;=0,"nu ", IF(ABS(F19)&gt;F15/2,"","nu "))),"se încadrează în categoria întreprinderilor în dificultate")</f>
        <v>Solicitantul nu se încadrează în categoria întreprinderilor în dificultate</v>
      </c>
      <c r="D21" s="317"/>
      <c r="E21" s="317"/>
      <c r="F21" s="324"/>
    </row>
    <row r="22" spans="1:6" x14ac:dyDescent="0.3">
      <c r="A22" s="82"/>
      <c r="B22" s="83"/>
      <c r="C22" s="83"/>
      <c r="D22" s="83"/>
      <c r="E22" s="83"/>
      <c r="F22" s="84"/>
    </row>
    <row r="23" spans="1:6" ht="39" customHeight="1" x14ac:dyDescent="0.3">
      <c r="A23" s="3" t="s">
        <v>261</v>
      </c>
      <c r="B23" s="325" t="s">
        <v>262</v>
      </c>
      <c r="C23" s="326"/>
      <c r="D23" s="326"/>
      <c r="E23" s="326"/>
      <c r="F23" s="326"/>
    </row>
    <row r="24" spans="1:6" ht="26.25" customHeight="1" x14ac:dyDescent="0.3">
      <c r="A24" s="3" t="s">
        <v>263</v>
      </c>
      <c r="B24" s="325" t="s">
        <v>264</v>
      </c>
      <c r="C24" s="326"/>
      <c r="D24" s="326"/>
      <c r="E24" s="326"/>
      <c r="F24" s="326"/>
    </row>
    <row r="27" spans="1:6" ht="25.5" customHeight="1" x14ac:dyDescent="0.3">
      <c r="A27" s="322" t="s">
        <v>265</v>
      </c>
      <c r="B27" s="317"/>
      <c r="C27" s="317"/>
      <c r="D27" s="317"/>
      <c r="E27" s="317"/>
      <c r="F27" s="317"/>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topLeftCell="A20" workbookViewId="0">
      <selection activeCell="I24" sqref="I24"/>
    </sheetView>
  </sheetViews>
  <sheetFormatPr defaultColWidth="9.109375" defaultRowHeight="13.8" x14ac:dyDescent="0.3"/>
  <cols>
    <col min="1" max="1" width="6.6640625" style="200" customWidth="1"/>
    <col min="2" max="2" width="65" style="107" customWidth="1"/>
    <col min="3" max="3" width="12.33203125" style="201" customWidth="1"/>
    <col min="4" max="4" width="12.33203125" style="202" customWidth="1"/>
    <col min="5" max="5" width="11.77734375" style="203" customWidth="1"/>
    <col min="6" max="7" width="12.33203125" style="203" customWidth="1"/>
    <col min="8" max="13" width="11.44140625" style="246" customWidth="1"/>
    <col min="14" max="14" width="11.5546875" style="246" customWidth="1"/>
    <col min="15" max="15" width="11.5546875" style="270" customWidth="1"/>
    <col min="16" max="16" width="9.109375" style="270" customWidth="1"/>
    <col min="17" max="16384" width="9.109375" style="270"/>
  </cols>
  <sheetData>
    <row r="1" spans="1:14" x14ac:dyDescent="0.3">
      <c r="A1" s="346" t="s">
        <v>266</v>
      </c>
      <c r="B1" s="317"/>
      <c r="C1" s="317"/>
      <c r="D1" s="317"/>
      <c r="E1" s="317"/>
      <c r="F1" s="317"/>
      <c r="G1" s="317"/>
    </row>
    <row r="2" spans="1:14" ht="40.5" customHeight="1" x14ac:dyDescent="0.3">
      <c r="A2" s="313" t="s">
        <v>267</v>
      </c>
      <c r="B2" s="317"/>
      <c r="C2" s="317"/>
      <c r="D2" s="317"/>
      <c r="E2" s="317"/>
      <c r="F2" s="317"/>
      <c r="G2" s="317"/>
    </row>
    <row r="3" spans="1:14" x14ac:dyDescent="0.3">
      <c r="B3" s="321"/>
      <c r="C3" s="317"/>
    </row>
    <row r="4" spans="1:14" ht="13.8" customHeight="1" x14ac:dyDescent="0.3">
      <c r="A4" s="347" t="s">
        <v>268</v>
      </c>
      <c r="B4" s="350" t="s">
        <v>269</v>
      </c>
      <c r="C4" s="350" t="s">
        <v>270</v>
      </c>
      <c r="D4" s="350" t="s">
        <v>271</v>
      </c>
      <c r="E4" s="264" t="s">
        <v>272</v>
      </c>
      <c r="F4" s="246"/>
      <c r="G4" s="246"/>
      <c r="L4" s="270"/>
      <c r="M4" s="270"/>
      <c r="N4" s="270"/>
    </row>
    <row r="5" spans="1:14" s="198" customFormat="1" ht="15" customHeight="1" x14ac:dyDescent="0.3">
      <c r="A5" s="348"/>
      <c r="B5" s="348"/>
      <c r="C5" s="348"/>
      <c r="D5" s="348"/>
      <c r="E5" s="189" t="s">
        <v>273</v>
      </c>
      <c r="F5" s="179"/>
      <c r="G5" s="179"/>
      <c r="H5" s="179"/>
      <c r="I5" s="179"/>
      <c r="J5" s="179"/>
      <c r="K5" s="179"/>
    </row>
    <row r="6" spans="1:14" s="210" customFormat="1" ht="14.4" customHeight="1" x14ac:dyDescent="0.3">
      <c r="A6" s="180" t="str">
        <f>'2A-Buget_cerere'!A5</f>
        <v>1.1</v>
      </c>
      <c r="B6" s="181" t="str">
        <f>'2A-Buget_cerere'!B5</f>
        <v>Cheltuieli cu realizarea/achizitia constructiilor</v>
      </c>
      <c r="C6" s="191">
        <f>'2A-Buget_cerere'!I5</f>
        <v>0</v>
      </c>
      <c r="D6" s="42" t="str">
        <f t="shared" ref="D6:D19" si="0">IF(E6&lt;&gt;C6,"Eroare!","")</f>
        <v/>
      </c>
      <c r="E6" s="34">
        <v>0</v>
      </c>
      <c r="F6" s="209"/>
      <c r="G6" s="209"/>
      <c r="H6" s="209"/>
      <c r="I6" s="209"/>
      <c r="J6" s="209"/>
      <c r="K6" s="209"/>
    </row>
    <row r="7" spans="1:14" s="210" customFormat="1" ht="27.6" customHeight="1" x14ac:dyDescent="0.3">
      <c r="A7" s="180" t="str">
        <f>'2A-Buget_cerere'!A6</f>
        <v>1.2</v>
      </c>
      <c r="B7" s="181" t="str">
        <f>'2A-Buget_cerere'!B6</f>
        <v>Echipamente, inclusiv IT&amp;C, tehnologii software, utilaje, instalatii, tehnologii, dotari independente</v>
      </c>
      <c r="C7" s="191">
        <f>'2A-Buget_cerere'!I6</f>
        <v>151790.29999999999</v>
      </c>
      <c r="D7" s="42" t="str">
        <f t="shared" si="0"/>
        <v/>
      </c>
      <c r="E7" s="34">
        <v>151790.29999999999</v>
      </c>
      <c r="F7" s="209"/>
      <c r="G7" s="209"/>
      <c r="H7" s="209"/>
      <c r="I7" s="209"/>
      <c r="J7" s="209"/>
      <c r="K7" s="209"/>
    </row>
    <row r="8" spans="1:14" s="215" customFormat="1" ht="14.4" customHeight="1" x14ac:dyDescent="0.3">
      <c r="A8" s="180" t="str">
        <f>'2A-Buget_cerere'!A7</f>
        <v>1.3</v>
      </c>
      <c r="B8" s="181" t="str">
        <f>'2A-Buget_cerere'!B7</f>
        <v>Mobilier de birou si mobilier specific</v>
      </c>
      <c r="C8" s="191">
        <f>'2A-Buget_cerere'!I7</f>
        <v>268884.31</v>
      </c>
      <c r="D8" s="42" t="str">
        <f t="shared" si="0"/>
        <v/>
      </c>
      <c r="E8" s="34">
        <v>268884.31</v>
      </c>
      <c r="F8" s="214"/>
      <c r="G8" s="209"/>
      <c r="H8" s="214"/>
      <c r="I8" s="214"/>
      <c r="J8" s="214"/>
      <c r="K8" s="214"/>
    </row>
    <row r="9" spans="1:14" s="210" customFormat="1" ht="14.4" customHeight="1" x14ac:dyDescent="0.3">
      <c r="A9" s="180" t="str">
        <f>'2A-Buget_cerere'!A8</f>
        <v>1.4</v>
      </c>
      <c r="B9" s="181" t="str">
        <f>'2A-Buget_cerere'!B8</f>
        <v>Terenuri in limita a 10% din valoarea eligibila a proiectului</v>
      </c>
      <c r="C9" s="191">
        <f>'2A-Buget_cerere'!I8</f>
        <v>0</v>
      </c>
      <c r="D9" s="42" t="str">
        <f t="shared" si="0"/>
        <v/>
      </c>
      <c r="E9" s="34">
        <v>0</v>
      </c>
      <c r="F9" s="209"/>
      <c r="G9" s="209"/>
      <c r="H9" s="209"/>
      <c r="I9" s="209"/>
      <c r="J9" s="209"/>
      <c r="K9" s="209"/>
    </row>
    <row r="10" spans="1:14" s="210" customFormat="1" ht="27.6" customHeight="1" x14ac:dyDescent="0.3">
      <c r="A10" s="180" t="str">
        <f>'2A-Buget_cerere'!A9</f>
        <v>1.5</v>
      </c>
      <c r="B10" s="181" t="str">
        <f>'2A-Buget_cerere'!B9</f>
        <v>Cheltuieli de sistemizare si amenajare teritoriale a terenurilor, cheltuieli de mediu, cheltuieli cu racordarea la utilitati, cheltuieli privind accesibilitatea</v>
      </c>
      <c r="C10" s="191">
        <f>'2A-Buget_cerere'!I9</f>
        <v>0</v>
      </c>
      <c r="D10" s="42" t="str">
        <f t="shared" si="0"/>
        <v/>
      </c>
      <c r="E10" s="34">
        <v>0</v>
      </c>
      <c r="F10" s="209"/>
      <c r="G10" s="209"/>
      <c r="H10" s="209"/>
      <c r="I10" s="209"/>
      <c r="J10" s="209"/>
      <c r="K10" s="209"/>
    </row>
    <row r="11" spans="1:14" s="210" customFormat="1" ht="27.6" customHeight="1" x14ac:dyDescent="0.3">
      <c r="A11" s="180" t="str">
        <f>'2A-Buget_cerere'!A10</f>
        <v>1.6</v>
      </c>
      <c r="B11" s="181" t="str">
        <f>'2A-Buget_cerere'!B10</f>
        <v>Cheltuieli cu consultanta si proiectarea, managementul de proiect, asistenta tehnica, dirigentia de santier</v>
      </c>
      <c r="C11" s="191">
        <f>'2A-Buget_cerere'!I10</f>
        <v>14300</v>
      </c>
      <c r="D11" s="42" t="str">
        <f t="shared" si="0"/>
        <v/>
      </c>
      <c r="E11" s="34">
        <v>14300</v>
      </c>
      <c r="F11" s="209"/>
      <c r="G11" s="209"/>
      <c r="H11" s="209"/>
      <c r="I11" s="209"/>
      <c r="J11" s="209"/>
      <c r="K11" s="209"/>
    </row>
    <row r="12" spans="1:14" s="210" customFormat="1" ht="27.6" customHeight="1" x14ac:dyDescent="0.3">
      <c r="A12" s="180" t="str">
        <f>'2A-Buget_cerere'!A11</f>
        <v>1.7</v>
      </c>
      <c r="B12" s="181" t="str">
        <f>'2A-Buget_cerere'!B11</f>
        <v>Cheltuieli de promovare, participare la targuri, evenimente, conferinte, cheltuieli privind studiile</v>
      </c>
      <c r="C12" s="191">
        <f>'2A-Buget_cerere'!I11</f>
        <v>0</v>
      </c>
      <c r="D12" s="42" t="str">
        <f t="shared" si="0"/>
        <v/>
      </c>
      <c r="E12" s="34">
        <v>0</v>
      </c>
      <c r="F12" s="209"/>
      <c r="G12" s="209"/>
      <c r="H12" s="209"/>
      <c r="I12" s="209"/>
      <c r="J12" s="209"/>
      <c r="K12" s="209"/>
    </row>
    <row r="13" spans="1:14" s="210" customFormat="1" ht="14.4" customHeight="1" x14ac:dyDescent="0.3">
      <c r="A13" s="180" t="str">
        <f>'2A-Buget_cerere'!A12</f>
        <v>1.8</v>
      </c>
      <c r="B13" s="181" t="str">
        <f>'2A-Buget_cerere'!B12</f>
        <v>Cheltuieli privind drepturile de proprietate intelectuala</v>
      </c>
      <c r="C13" s="191">
        <f>'2A-Buget_cerere'!I12</f>
        <v>0</v>
      </c>
      <c r="D13" s="42" t="str">
        <f t="shared" si="0"/>
        <v/>
      </c>
      <c r="E13" s="34">
        <v>0</v>
      </c>
      <c r="F13" s="209"/>
      <c r="G13" s="209"/>
      <c r="H13" s="209"/>
      <c r="I13" s="209"/>
      <c r="J13" s="209"/>
      <c r="K13" s="209"/>
    </row>
    <row r="14" spans="1:14" s="210" customFormat="1" ht="27.6" customHeight="1" x14ac:dyDescent="0.3">
      <c r="A14" s="180" t="str">
        <f>'2A-Buget_cerere'!A13</f>
        <v>1.9</v>
      </c>
      <c r="B14" s="181" t="str">
        <f>'2A-Buget_cerere'!B13</f>
        <v>Active necorporale referitoare la brevete de inventie, marci de produse, software necesar activitatii</v>
      </c>
      <c r="C14" s="191">
        <f>'2A-Buget_cerere'!I13</f>
        <v>0</v>
      </c>
      <c r="D14" s="42" t="str">
        <f t="shared" si="0"/>
        <v/>
      </c>
      <c r="E14" s="34">
        <v>0</v>
      </c>
      <c r="F14" s="209"/>
      <c r="G14" s="209"/>
      <c r="H14" s="209"/>
      <c r="I14" s="209"/>
      <c r="J14" s="209"/>
      <c r="K14" s="209"/>
    </row>
    <row r="15" spans="1:14" s="210" customFormat="1" ht="27.6" customHeight="1" x14ac:dyDescent="0.3">
      <c r="A15" s="180" t="str">
        <f>'2A-Buget_cerere'!A14</f>
        <v>2.1</v>
      </c>
      <c r="B15" s="181" t="str">
        <f>'2A-Buget_cerere'!B14</f>
        <v>Cheltuieli pentru realizare de depozite de echipamente medicale, medicamente, materiale sanitare, destinate interventiei pentru situatii de urgenta</v>
      </c>
      <c r="C15" s="191">
        <f>'2A-Buget_cerere'!I14</f>
        <v>0</v>
      </c>
      <c r="D15" s="42" t="str">
        <f t="shared" si="0"/>
        <v/>
      </c>
      <c r="E15" s="34"/>
      <c r="F15" s="209"/>
      <c r="G15" s="209"/>
      <c r="H15" s="209"/>
      <c r="I15" s="209"/>
      <c r="J15" s="209"/>
      <c r="K15" s="209"/>
    </row>
    <row r="16" spans="1:14" s="210" customFormat="1" ht="27.6" customHeight="1" x14ac:dyDescent="0.3">
      <c r="A16" s="122" t="s">
        <v>274</v>
      </c>
      <c r="B16" s="85" t="s">
        <v>275</v>
      </c>
      <c r="C16" s="191">
        <f>'2A-Buget_cerere'!I15</f>
        <v>0</v>
      </c>
      <c r="D16" s="42" t="str">
        <f t="shared" si="0"/>
        <v/>
      </c>
      <c r="E16" s="34"/>
      <c r="F16" s="209"/>
      <c r="G16" s="209"/>
      <c r="H16" s="209"/>
      <c r="I16" s="209"/>
      <c r="J16" s="209"/>
      <c r="K16" s="209"/>
    </row>
    <row r="17" spans="1:14" s="210" customFormat="1" ht="27.6" customHeight="1" x14ac:dyDescent="0.3">
      <c r="A17" s="122" t="s">
        <v>276</v>
      </c>
      <c r="B17" s="85" t="s">
        <v>277</v>
      </c>
      <c r="C17" s="191">
        <f>'2A-Buget_cerere'!I16</f>
        <v>0</v>
      </c>
      <c r="D17" s="42" t="str">
        <f t="shared" si="0"/>
        <v/>
      </c>
      <c r="E17" s="34">
        <v>0</v>
      </c>
      <c r="F17" s="209"/>
      <c r="G17" s="209"/>
      <c r="H17" s="209"/>
      <c r="I17" s="209"/>
      <c r="J17" s="209"/>
      <c r="K17" s="209"/>
    </row>
    <row r="18" spans="1:14" s="210" customFormat="1" ht="41.4" customHeight="1" x14ac:dyDescent="0.3">
      <c r="A18" s="180" t="str">
        <f>'2A-Buget_cerere'!A17</f>
        <v>3.3</v>
      </c>
      <c r="B18" s="181" t="str">
        <f>'2A-Buget_cerere'!B17</f>
        <v>Cheltuieli privind dotarea mijloacelor de transport existente cu echipamente si tehnologii care conduc la imbunatatirea confortului/calitatii serviciilor de transport persoane si marfuri prestate</v>
      </c>
      <c r="C18" s="191">
        <f>'2A-Buget_cerere'!I17</f>
        <v>0</v>
      </c>
      <c r="D18" s="42" t="str">
        <f t="shared" si="0"/>
        <v/>
      </c>
      <c r="E18" s="34">
        <v>0</v>
      </c>
      <c r="F18" s="209"/>
      <c r="G18" s="209"/>
      <c r="H18" s="209"/>
      <c r="I18" s="209"/>
      <c r="J18" s="209"/>
      <c r="K18" s="209"/>
    </row>
    <row r="19" spans="1:14" s="185" customFormat="1" ht="14.4" customHeight="1" x14ac:dyDescent="0.3">
      <c r="A19" s="183"/>
      <c r="B19" s="184" t="str">
        <f>'2A-Buget_cerere'!B18</f>
        <v>TOTAL GENERAL</v>
      </c>
      <c r="C19" s="191">
        <f>'2A-Buget_cerere'!I18</f>
        <v>434974.61</v>
      </c>
      <c r="D19" s="42" t="str">
        <f t="shared" si="0"/>
        <v/>
      </c>
      <c r="E19" s="182">
        <f>SUM(E6:E18)</f>
        <v>434974.61</v>
      </c>
      <c r="F19" s="214"/>
      <c r="G19" s="209"/>
      <c r="H19" s="214"/>
      <c r="I19" s="214"/>
      <c r="J19" s="214"/>
      <c r="K19" s="214"/>
    </row>
    <row r="20" spans="1:14" s="187" customFormat="1" x14ac:dyDescent="0.3">
      <c r="A20" s="303"/>
      <c r="B20" s="186"/>
      <c r="C20" s="201"/>
      <c r="D20" s="202"/>
      <c r="E20" s="203"/>
      <c r="F20" s="203"/>
      <c r="G20" s="203"/>
      <c r="H20" s="209"/>
      <c r="I20" s="209"/>
      <c r="J20" s="209"/>
      <c r="K20" s="209"/>
      <c r="L20" s="209"/>
      <c r="M20" s="209"/>
      <c r="N20" s="209"/>
    </row>
    <row r="21" spans="1:14" s="187" customFormat="1" x14ac:dyDescent="0.3">
      <c r="A21" s="303"/>
      <c r="B21" s="188"/>
      <c r="C21" s="201"/>
      <c r="D21" s="202"/>
      <c r="E21" s="203"/>
      <c r="F21" s="203"/>
      <c r="G21" s="203"/>
      <c r="H21" s="209"/>
      <c r="I21" s="209"/>
      <c r="J21" s="209"/>
      <c r="K21" s="209"/>
      <c r="L21" s="209"/>
      <c r="M21" s="209"/>
      <c r="N21" s="209"/>
    </row>
    <row r="22" spans="1:14" s="225" customFormat="1" x14ac:dyDescent="0.3">
      <c r="A22" s="351" t="s">
        <v>278</v>
      </c>
      <c r="B22" s="329"/>
      <c r="C22" s="349" t="s">
        <v>270</v>
      </c>
      <c r="D22" s="350" t="s">
        <v>271</v>
      </c>
      <c r="E22" s="265" t="s">
        <v>272</v>
      </c>
      <c r="F22" s="246"/>
      <c r="G22" s="209"/>
      <c r="H22" s="246"/>
      <c r="I22" s="246"/>
      <c r="J22" s="246"/>
      <c r="K22" s="246"/>
    </row>
    <row r="23" spans="1:14" s="190" customFormat="1" x14ac:dyDescent="0.3">
      <c r="A23" s="352"/>
      <c r="B23" s="353"/>
      <c r="C23" s="348"/>
      <c r="D23" s="348"/>
      <c r="E23" s="189" t="s">
        <v>273</v>
      </c>
      <c r="F23" s="179"/>
      <c r="G23" s="209"/>
      <c r="H23" s="179"/>
      <c r="I23" s="179"/>
      <c r="J23" s="179"/>
      <c r="K23" s="179"/>
    </row>
    <row r="24" spans="1:14" s="193" customFormat="1" x14ac:dyDescent="0.3">
      <c r="A24" s="354" t="s">
        <v>279</v>
      </c>
      <c r="B24" s="337"/>
      <c r="C24" s="191">
        <f>'2A-Buget_cerere'!C23</f>
        <v>434974.61</v>
      </c>
      <c r="D24" s="42" t="str">
        <f>IF(E24&lt;&gt;C24,"Eroare!","")</f>
        <v/>
      </c>
      <c r="E24" s="39">
        <f>E19</f>
        <v>434974.61</v>
      </c>
      <c r="F24" s="192"/>
      <c r="G24" s="209"/>
      <c r="H24" s="192"/>
      <c r="I24" s="192"/>
      <c r="J24" s="192"/>
      <c r="K24" s="192"/>
    </row>
    <row r="25" spans="1:14" s="193" customFormat="1" x14ac:dyDescent="0.3">
      <c r="A25" s="356" t="s">
        <v>280</v>
      </c>
      <c r="B25" s="337"/>
      <c r="C25" s="251">
        <f>'2A-Buget_cerere'!G18</f>
        <v>67166.540000000008</v>
      </c>
      <c r="D25" s="42" t="str">
        <f>IF(E25&lt;&gt;C25,"Eroare!","")</f>
        <v/>
      </c>
      <c r="E25" s="259">
        <v>67166.539999999994</v>
      </c>
      <c r="F25" s="192"/>
      <c r="G25" s="209"/>
      <c r="H25" s="192"/>
      <c r="I25" s="192"/>
      <c r="J25" s="192"/>
      <c r="K25" s="192"/>
    </row>
    <row r="26" spans="1:14" s="193" customFormat="1" x14ac:dyDescent="0.3">
      <c r="A26" s="354" t="s">
        <v>281</v>
      </c>
      <c r="B26" s="337"/>
      <c r="C26" s="191">
        <f>'2A-Buget_cerere'!C26</f>
        <v>232680.17</v>
      </c>
      <c r="D26" s="42" t="str">
        <f>IF(E26&lt;&gt;C26,"Eroare!","")</f>
        <v/>
      </c>
      <c r="E26" s="39">
        <v>232680.17</v>
      </c>
      <c r="F26" s="192"/>
      <c r="G26" s="209"/>
      <c r="H26" s="192"/>
      <c r="I26" s="192"/>
      <c r="J26" s="192"/>
      <c r="K26" s="192"/>
    </row>
    <row r="27" spans="1:14" s="190" customFormat="1" x14ac:dyDescent="0.3">
      <c r="A27" s="355" t="s">
        <v>282</v>
      </c>
      <c r="B27" s="337"/>
      <c r="C27" s="191"/>
      <c r="D27" s="42"/>
      <c r="E27" s="34">
        <v>232680.17</v>
      </c>
      <c r="F27" s="179"/>
      <c r="G27" s="209"/>
      <c r="H27" s="179"/>
      <c r="I27" s="179"/>
      <c r="J27" s="179"/>
      <c r="K27" s="179"/>
    </row>
    <row r="28" spans="1:14" s="190" customFormat="1" x14ac:dyDescent="0.3">
      <c r="A28" s="355" t="s">
        <v>283</v>
      </c>
      <c r="B28" s="337"/>
      <c r="C28" s="191"/>
      <c r="D28" s="42"/>
      <c r="E28" s="34">
        <v>0</v>
      </c>
      <c r="F28" s="179"/>
      <c r="G28" s="209"/>
      <c r="H28" s="179"/>
      <c r="I28" s="179"/>
      <c r="J28" s="179"/>
      <c r="K28" s="179"/>
    </row>
    <row r="29" spans="1:14" s="193" customFormat="1" x14ac:dyDescent="0.3">
      <c r="A29" s="354" t="str">
        <f>'2A-Buget_cerere'!B29</f>
        <v>ASISTENŢĂ FINANCIARĂ NERAMBURSABILĂ SOLICITATĂ</v>
      </c>
      <c r="B29" s="337"/>
      <c r="C29" s="191">
        <f>'2A-Buget_cerere'!C29</f>
        <v>202294.43999999997</v>
      </c>
      <c r="D29" s="42" t="str">
        <f>IF(E29&lt;&gt;C29,"Eroare!","")</f>
        <v/>
      </c>
      <c r="E29" s="34">
        <v>202294.44</v>
      </c>
      <c r="F29" s="192"/>
      <c r="G29" s="209"/>
      <c r="H29" s="192"/>
      <c r="I29" s="192"/>
      <c r="J29" s="192"/>
      <c r="K29" s="192"/>
    </row>
    <row r="30" spans="1:14" s="199" customFormat="1" ht="14.4" customHeight="1" x14ac:dyDescent="0.3">
      <c r="A30" s="194"/>
      <c r="B30" s="195"/>
      <c r="C30" s="201"/>
      <c r="D30" s="202"/>
      <c r="E30" s="203"/>
      <c r="F30" s="203"/>
      <c r="G30" s="203"/>
      <c r="H30" s="192"/>
      <c r="I30" s="209"/>
      <c r="J30" s="192"/>
      <c r="K30" s="192"/>
      <c r="L30" s="192"/>
      <c r="M30" s="192"/>
      <c r="N30" s="192"/>
    </row>
    <row r="31" spans="1:14" s="199" customFormat="1" ht="14.4" customHeight="1" x14ac:dyDescent="0.3">
      <c r="A31" s="194"/>
      <c r="B31" s="196"/>
      <c r="C31" s="201"/>
      <c r="D31" s="202"/>
      <c r="E31" s="203"/>
      <c r="F31" s="203"/>
      <c r="G31" s="203"/>
      <c r="H31" s="192"/>
      <c r="I31" s="192"/>
      <c r="J31" s="192"/>
      <c r="K31" s="192"/>
      <c r="L31" s="192"/>
      <c r="M31" s="192"/>
      <c r="N31" s="192"/>
    </row>
    <row r="32" spans="1:14" s="198" customFormat="1" ht="14.4" customHeight="1" x14ac:dyDescent="0.3">
      <c r="A32" s="343" t="s">
        <v>284</v>
      </c>
      <c r="B32" s="341"/>
      <c r="C32" s="341"/>
      <c r="D32" s="202"/>
      <c r="E32" s="203"/>
      <c r="F32" s="203"/>
      <c r="G32" s="203"/>
      <c r="H32" s="179"/>
      <c r="I32" s="179"/>
      <c r="J32" s="179"/>
      <c r="K32" s="179"/>
      <c r="L32" s="179"/>
      <c r="M32" s="179"/>
      <c r="N32" s="179"/>
    </row>
    <row r="33" spans="1:14" s="198" customFormat="1" ht="15" customHeight="1" x14ac:dyDescent="0.3">
      <c r="A33" s="345" t="s">
        <v>285</v>
      </c>
      <c r="B33" s="337"/>
      <c r="C33" s="197" t="s">
        <v>286</v>
      </c>
      <c r="D33" s="189" t="s">
        <v>273</v>
      </c>
      <c r="E33" s="189" t="s">
        <v>287</v>
      </c>
      <c r="F33" s="189" t="s">
        <v>288</v>
      </c>
      <c r="G33" s="189" t="s">
        <v>289</v>
      </c>
      <c r="N33" s="179"/>
    </row>
    <row r="34" spans="1:14" s="198" customFormat="1" ht="15" customHeight="1" x14ac:dyDescent="0.3">
      <c r="A34" s="342" t="s">
        <v>290</v>
      </c>
      <c r="B34" s="337"/>
      <c r="C34" s="42">
        <f>SUM(D34:G34)</f>
        <v>0</v>
      </c>
      <c r="D34" s="39">
        <f>E28</f>
        <v>0</v>
      </c>
      <c r="E34" s="39"/>
      <c r="F34" s="39"/>
      <c r="G34" s="39"/>
      <c r="N34" s="179"/>
    </row>
    <row r="35" spans="1:14" s="198" customFormat="1" ht="15" customHeight="1" x14ac:dyDescent="0.3">
      <c r="A35" s="342" t="s">
        <v>291</v>
      </c>
      <c r="B35" s="337"/>
      <c r="C35" s="42">
        <f>SUM(D35:G35)</f>
        <v>0</v>
      </c>
      <c r="D35" s="34">
        <v>0</v>
      </c>
      <c r="E35" s="34">
        <v>0</v>
      </c>
      <c r="F35" s="34">
        <v>0</v>
      </c>
      <c r="G35" s="34">
        <v>0</v>
      </c>
      <c r="N35" s="179"/>
    </row>
    <row r="36" spans="1:14" s="198" customFormat="1" ht="15" customHeight="1" x14ac:dyDescent="0.3">
      <c r="A36" s="342" t="s">
        <v>292</v>
      </c>
      <c r="B36" s="337"/>
      <c r="C36" s="42">
        <f>SUM(D36:G36)</f>
        <v>0</v>
      </c>
      <c r="D36" s="34">
        <v>0</v>
      </c>
      <c r="E36" s="34">
        <v>0</v>
      </c>
      <c r="F36" s="34">
        <v>0</v>
      </c>
      <c r="G36" s="34">
        <v>0</v>
      </c>
      <c r="N36" s="179"/>
    </row>
    <row r="37" spans="1:14" s="199" customFormat="1" ht="15" customHeight="1" x14ac:dyDescent="0.3">
      <c r="A37" s="344" t="s">
        <v>293</v>
      </c>
      <c r="B37" s="337"/>
      <c r="C37" s="42">
        <f>SUM(D37:G37)</f>
        <v>0</v>
      </c>
      <c r="D37" s="39">
        <f>D36+D35</f>
        <v>0</v>
      </c>
      <c r="E37" s="39">
        <f>E36+E35</f>
        <v>0</v>
      </c>
      <c r="F37" s="39">
        <f>F36+F35</f>
        <v>0</v>
      </c>
      <c r="G37" s="39">
        <f>G36+G35</f>
        <v>0</v>
      </c>
      <c r="N37" s="192"/>
    </row>
    <row r="38" spans="1:14" s="198" customFormat="1" ht="14.4" customHeight="1" x14ac:dyDescent="0.3">
      <c r="A38" s="303"/>
      <c r="B38" s="299"/>
      <c r="C38" s="201"/>
      <c r="D38" s="202"/>
      <c r="G38" s="230"/>
      <c r="H38" s="179"/>
      <c r="I38" s="179"/>
      <c r="J38" s="179"/>
      <c r="K38" s="179"/>
      <c r="L38" s="179"/>
      <c r="M38" s="179"/>
      <c r="N38" s="179"/>
    </row>
    <row r="39" spans="1:14" s="198" customFormat="1" ht="14.4" customHeight="1" x14ac:dyDescent="0.3">
      <c r="A39" s="303"/>
      <c r="B39" s="299"/>
      <c r="C39" s="201"/>
      <c r="D39" s="202"/>
      <c r="E39" s="203"/>
      <c r="F39" s="203"/>
      <c r="G39" s="203"/>
      <c r="H39" s="179"/>
      <c r="I39" s="179"/>
      <c r="J39" s="179"/>
      <c r="K39" s="179"/>
      <c r="L39" s="179"/>
      <c r="M39" s="179"/>
      <c r="N39" s="179"/>
    </row>
    <row r="40" spans="1:14" s="198" customFormat="1" ht="14.4" customHeight="1" x14ac:dyDescent="0.3">
      <c r="A40" s="340" t="s">
        <v>294</v>
      </c>
      <c r="B40" s="341"/>
      <c r="C40" s="324"/>
      <c r="D40" s="189" t="s">
        <v>273</v>
      </c>
      <c r="E40" s="263" t="s">
        <v>287</v>
      </c>
      <c r="F40" s="189" t="s">
        <v>288</v>
      </c>
      <c r="G40" s="189" t="s">
        <v>289</v>
      </c>
      <c r="H40" s="179"/>
      <c r="I40" s="179"/>
      <c r="J40" s="179"/>
      <c r="K40" s="179"/>
      <c r="L40" s="179"/>
      <c r="M40" s="179"/>
      <c r="N40" s="179"/>
    </row>
    <row r="41" spans="1:14" s="198" customFormat="1" ht="14.4" customHeight="1" x14ac:dyDescent="0.3">
      <c r="A41" s="342" t="s">
        <v>156</v>
      </c>
      <c r="B41" s="326"/>
      <c r="C41" s="337"/>
      <c r="D41" s="34">
        <v>0</v>
      </c>
      <c r="E41" s="34">
        <v>0</v>
      </c>
      <c r="F41" s="34">
        <v>0</v>
      </c>
      <c r="G41" s="34">
        <v>0</v>
      </c>
      <c r="H41" s="179"/>
      <c r="I41" s="179"/>
      <c r="J41" s="179"/>
      <c r="K41" s="179"/>
      <c r="L41" s="179"/>
      <c r="M41" s="179"/>
      <c r="N41" s="179"/>
    </row>
    <row r="42" spans="1:14" s="198" customFormat="1" ht="14.4" customHeight="1" x14ac:dyDescent="0.3">
      <c r="A42" s="342" t="s">
        <v>295</v>
      </c>
      <c r="B42" s="326"/>
      <c r="C42" s="337"/>
      <c r="D42" s="39">
        <f>D34-D35</f>
        <v>0</v>
      </c>
      <c r="E42" s="176">
        <f>D42+E34-E35</f>
        <v>0</v>
      </c>
      <c r="F42" s="39">
        <f>E42+F34-F35</f>
        <v>0</v>
      </c>
      <c r="G42" s="39">
        <f>F42+G34-G35</f>
        <v>0</v>
      </c>
      <c r="H42" s="303"/>
      <c r="I42" s="179"/>
      <c r="J42" s="179"/>
      <c r="K42" s="179"/>
      <c r="L42" s="179"/>
      <c r="M42" s="179"/>
      <c r="N42" s="179"/>
    </row>
    <row r="43" spans="1:14" s="198" customFormat="1" ht="14.4" customHeight="1" x14ac:dyDescent="0.3">
      <c r="A43" s="342" t="s">
        <v>296</v>
      </c>
      <c r="B43" s="326"/>
      <c r="C43" s="337"/>
      <c r="D43" s="34">
        <v>0</v>
      </c>
      <c r="E43" s="34">
        <v>0</v>
      </c>
      <c r="F43" s="34">
        <v>0</v>
      </c>
      <c r="G43" s="34">
        <v>0</v>
      </c>
      <c r="H43" s="179"/>
      <c r="I43" s="179"/>
      <c r="J43" s="179"/>
      <c r="K43" s="179"/>
      <c r="L43" s="179"/>
      <c r="M43" s="179"/>
      <c r="N43" s="179"/>
    </row>
    <row r="44" spans="1:14" s="198" customFormat="1" ht="14.4" customHeight="1" x14ac:dyDescent="0.3">
      <c r="A44" s="342" t="s">
        <v>297</v>
      </c>
      <c r="B44" s="326"/>
      <c r="C44" s="337"/>
      <c r="D44" s="34">
        <v>0</v>
      </c>
      <c r="E44" s="34">
        <v>0</v>
      </c>
      <c r="F44" s="34">
        <v>0</v>
      </c>
      <c r="G44" s="34">
        <v>0</v>
      </c>
      <c r="H44" s="179"/>
      <c r="I44" s="179"/>
      <c r="J44" s="179"/>
      <c r="K44" s="179"/>
      <c r="L44" s="179"/>
      <c r="M44" s="179"/>
      <c r="N44" s="179"/>
    </row>
    <row r="45" spans="1:14" s="198" customFormat="1" ht="14.4" customHeight="1" x14ac:dyDescent="0.3">
      <c r="A45" s="342" t="s">
        <v>298</v>
      </c>
      <c r="B45" s="326"/>
      <c r="C45" s="337"/>
      <c r="D45" s="182" t="str">
        <f>IFERROR(SUM(D42:D44)/(SUM(D42:D44)+D41),"")</f>
        <v/>
      </c>
      <c r="E45" s="175" t="str">
        <f>IFERROR(SUM(E42:E44)/(SUM(E42:E44)+E41),"")</f>
        <v/>
      </c>
      <c r="F45" s="182" t="str">
        <f>IFERROR(SUM(F42:F44)/(SUM(F42:F44)+F41),"")</f>
        <v/>
      </c>
      <c r="G45" s="182" t="str">
        <f>IFERROR(SUM(G42:G44)/(SUM(G42:G44)+G41),"")</f>
        <v/>
      </c>
      <c r="H45" s="179"/>
      <c r="I45" s="179"/>
      <c r="J45" s="179"/>
      <c r="K45" s="179"/>
      <c r="L45" s="179"/>
      <c r="M45" s="179"/>
      <c r="N45" s="179"/>
    </row>
    <row r="46" spans="1:14" s="198" customFormat="1" ht="14.4" customHeight="1" x14ac:dyDescent="0.3">
      <c r="A46" s="303"/>
      <c r="B46" s="299"/>
      <c r="C46" s="201"/>
      <c r="D46" s="202"/>
      <c r="E46" s="203"/>
      <c r="F46" s="203"/>
      <c r="G46" s="203"/>
      <c r="H46" s="179"/>
      <c r="I46" s="179"/>
      <c r="J46" s="179"/>
      <c r="K46" s="179"/>
      <c r="L46" s="179"/>
      <c r="M46" s="179"/>
      <c r="N46" s="179"/>
    </row>
    <row r="47" spans="1:14" s="198" customFormat="1" ht="14.4" customHeight="1" x14ac:dyDescent="0.3">
      <c r="A47" s="303"/>
      <c r="B47" s="299"/>
      <c r="C47" s="201"/>
      <c r="D47" s="202"/>
      <c r="E47" s="203"/>
      <c r="F47" s="203"/>
      <c r="G47" s="203"/>
      <c r="H47" s="179"/>
      <c r="I47" s="179"/>
      <c r="J47" s="179"/>
      <c r="K47" s="179"/>
      <c r="L47" s="179"/>
      <c r="M47" s="179"/>
      <c r="N47" s="179"/>
    </row>
    <row r="48" spans="1:14" s="198" customFormat="1" ht="14.4" customHeight="1" x14ac:dyDescent="0.3">
      <c r="A48" s="303"/>
      <c r="B48" s="299"/>
      <c r="C48" s="201"/>
      <c r="D48" s="202"/>
      <c r="E48" s="203"/>
      <c r="F48" s="203"/>
      <c r="G48" s="203"/>
      <c r="H48" s="179"/>
      <c r="I48" s="179"/>
      <c r="J48" s="179"/>
      <c r="K48" s="179"/>
      <c r="L48" s="179"/>
      <c r="M48" s="179"/>
      <c r="N48" s="179"/>
    </row>
    <row r="49" spans="1:14" s="198" customFormat="1" ht="14.4" customHeight="1" x14ac:dyDescent="0.3">
      <c r="A49" s="303"/>
      <c r="B49" s="299"/>
      <c r="C49" s="201"/>
      <c r="D49" s="202"/>
      <c r="E49" s="203"/>
      <c r="F49" s="203"/>
      <c r="G49" s="203"/>
      <c r="H49" s="179"/>
      <c r="I49" s="179"/>
      <c r="J49" s="179"/>
      <c r="K49" s="179"/>
      <c r="L49" s="179"/>
      <c r="M49" s="179"/>
      <c r="N49" s="179"/>
    </row>
    <row r="50" spans="1:14" s="198" customFormat="1" ht="14.4" customHeight="1" x14ac:dyDescent="0.3">
      <c r="A50" s="303"/>
      <c r="B50" s="299"/>
      <c r="C50" s="201"/>
      <c r="D50" s="202"/>
      <c r="E50" s="203"/>
      <c r="F50" s="203"/>
      <c r="G50" s="203"/>
      <c r="H50" s="179"/>
      <c r="I50" s="179"/>
      <c r="J50" s="179"/>
      <c r="K50" s="179"/>
      <c r="L50" s="179"/>
      <c r="M50" s="179"/>
      <c r="N50" s="179"/>
    </row>
    <row r="51" spans="1:14" s="198" customFormat="1" ht="14.4" customHeight="1" x14ac:dyDescent="0.3">
      <c r="A51" s="303"/>
      <c r="B51" s="299"/>
      <c r="C51" s="201"/>
      <c r="D51" s="202"/>
      <c r="E51" s="203"/>
      <c r="F51" s="203"/>
      <c r="G51" s="203"/>
      <c r="H51" s="179"/>
      <c r="I51" s="179"/>
      <c r="J51" s="179"/>
      <c r="K51" s="179"/>
      <c r="L51" s="179"/>
      <c r="M51" s="179"/>
      <c r="N51" s="179"/>
    </row>
    <row r="52" spans="1:14" s="198" customFormat="1" ht="14.4" customHeight="1" x14ac:dyDescent="0.3">
      <c r="A52" s="303"/>
      <c r="B52" s="299"/>
      <c r="C52" s="201"/>
      <c r="D52" s="202"/>
      <c r="E52" s="203"/>
      <c r="F52" s="203"/>
      <c r="G52" s="203"/>
      <c r="H52" s="179"/>
      <c r="I52" s="179"/>
      <c r="J52" s="179"/>
      <c r="K52" s="179"/>
      <c r="L52" s="179"/>
      <c r="M52" s="179"/>
      <c r="N52" s="179"/>
    </row>
    <row r="53" spans="1:14" s="198" customFormat="1" ht="14.4" customHeight="1" x14ac:dyDescent="0.3">
      <c r="A53" s="303"/>
      <c r="B53" s="299"/>
      <c r="C53" s="201"/>
      <c r="D53" s="202"/>
      <c r="E53" s="203"/>
      <c r="F53" s="203"/>
      <c r="G53" s="203"/>
      <c r="H53" s="179"/>
      <c r="I53" s="179"/>
      <c r="J53" s="179"/>
      <c r="K53" s="179"/>
      <c r="L53" s="179"/>
      <c r="M53" s="179"/>
      <c r="N53" s="179"/>
    </row>
    <row r="54" spans="1:14" s="198" customFormat="1" ht="14.4" customHeight="1" x14ac:dyDescent="0.3">
      <c r="A54" s="303"/>
      <c r="B54" s="299"/>
      <c r="C54" s="201"/>
      <c r="D54" s="202"/>
      <c r="E54" s="203"/>
      <c r="F54" s="203"/>
      <c r="G54" s="203"/>
      <c r="H54" s="179"/>
      <c r="I54" s="179"/>
      <c r="J54" s="179"/>
      <c r="K54" s="179"/>
      <c r="L54" s="179"/>
      <c r="M54" s="179"/>
      <c r="N54" s="179"/>
    </row>
    <row r="55" spans="1:14" s="198" customFormat="1" ht="14.4" customHeight="1" x14ac:dyDescent="0.3">
      <c r="A55" s="303"/>
      <c r="B55" s="299"/>
      <c r="C55" s="201"/>
      <c r="D55" s="202"/>
      <c r="E55" s="203"/>
      <c r="F55" s="203"/>
      <c r="G55" s="203"/>
      <c r="H55" s="179"/>
      <c r="I55" s="179"/>
      <c r="J55" s="179"/>
      <c r="K55" s="179"/>
      <c r="L55" s="179"/>
      <c r="M55" s="179"/>
      <c r="N55" s="179"/>
    </row>
    <row r="56" spans="1:14" s="198" customFormat="1" ht="14.4" customHeight="1" x14ac:dyDescent="0.3">
      <c r="A56" s="303"/>
      <c r="B56" s="299"/>
      <c r="C56" s="201"/>
      <c r="D56" s="202"/>
      <c r="E56" s="203"/>
      <c r="F56" s="203"/>
      <c r="G56" s="203"/>
      <c r="H56" s="179"/>
      <c r="I56" s="179"/>
      <c r="J56" s="179"/>
      <c r="K56" s="179"/>
      <c r="L56" s="179"/>
      <c r="M56" s="179"/>
      <c r="N56" s="179"/>
    </row>
    <row r="57" spans="1:14" s="198" customFormat="1" ht="14.4" customHeight="1" x14ac:dyDescent="0.3">
      <c r="A57" s="303"/>
      <c r="B57" s="299"/>
      <c r="C57" s="201"/>
      <c r="D57" s="202"/>
      <c r="E57" s="203"/>
      <c r="F57" s="203"/>
      <c r="G57" s="203"/>
      <c r="H57" s="179"/>
      <c r="I57" s="179"/>
      <c r="J57" s="179"/>
      <c r="K57" s="179"/>
      <c r="L57" s="179"/>
      <c r="M57" s="179"/>
      <c r="N57" s="179"/>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workbookViewId="0">
      <selection activeCell="K13" sqref="K13"/>
    </sheetView>
  </sheetViews>
  <sheetFormatPr defaultColWidth="9.109375" defaultRowHeight="14.4" x14ac:dyDescent="0.3"/>
  <cols>
    <col min="1" max="1" width="6.6640625" style="121" customWidth="1"/>
    <col min="2" max="2" width="56.109375" style="116" customWidth="1"/>
    <col min="3" max="3" width="12.6640625" style="139" customWidth="1"/>
    <col min="4" max="4" width="11.33203125" style="139" customWidth="1"/>
    <col min="5" max="5" width="12.5546875" style="140" customWidth="1"/>
    <col min="6" max="7" width="12.6640625" style="139" customWidth="1"/>
    <col min="8" max="9" width="12.6640625" style="140" customWidth="1"/>
    <col min="10" max="10" width="9.109375" style="103" customWidth="1"/>
    <col min="11" max="16384" width="9.109375" style="103"/>
  </cols>
  <sheetData>
    <row r="1" spans="1:9" x14ac:dyDescent="0.3">
      <c r="A1" s="360" t="s">
        <v>299</v>
      </c>
      <c r="B1" s="361"/>
      <c r="C1" s="359"/>
      <c r="D1" s="359"/>
      <c r="E1" s="358"/>
      <c r="F1" s="359"/>
      <c r="G1" s="359"/>
      <c r="H1" s="358"/>
      <c r="I1" s="358"/>
    </row>
    <row r="2" spans="1:9" x14ac:dyDescent="0.3">
      <c r="A2" s="117"/>
      <c r="B2" s="113"/>
      <c r="C2" s="130"/>
      <c r="D2" s="130"/>
      <c r="E2" s="130"/>
      <c r="F2" s="130"/>
      <c r="G2" s="130"/>
      <c r="H2" s="130"/>
      <c r="I2" s="130"/>
    </row>
    <row r="3" spans="1:9" x14ac:dyDescent="0.3">
      <c r="A3" s="364" t="s">
        <v>300</v>
      </c>
      <c r="B3" s="363" t="s">
        <v>301</v>
      </c>
      <c r="C3" s="362" t="s">
        <v>302</v>
      </c>
      <c r="D3" s="337"/>
      <c r="E3" s="362" t="s">
        <v>303</v>
      </c>
      <c r="F3" s="362" t="s">
        <v>304</v>
      </c>
      <c r="G3" s="337"/>
      <c r="H3" s="362" t="s">
        <v>305</v>
      </c>
      <c r="I3" s="362" t="s">
        <v>306</v>
      </c>
    </row>
    <row r="4" spans="1:9" ht="69" customHeight="1" x14ac:dyDescent="0.3">
      <c r="A4" s="348"/>
      <c r="B4" s="348"/>
      <c r="C4" s="304" t="s">
        <v>307</v>
      </c>
      <c r="D4" s="304" t="s">
        <v>308</v>
      </c>
      <c r="E4" s="348"/>
      <c r="F4" s="304" t="s">
        <v>309</v>
      </c>
      <c r="G4" s="304" t="s">
        <v>310</v>
      </c>
      <c r="H4" s="348"/>
      <c r="I4" s="348"/>
    </row>
    <row r="5" spans="1:9" x14ac:dyDescent="0.3">
      <c r="A5" s="118" t="s">
        <v>311</v>
      </c>
      <c r="B5" s="111" t="s">
        <v>312</v>
      </c>
      <c r="C5" s="131">
        <v>0</v>
      </c>
      <c r="D5" s="131">
        <v>0</v>
      </c>
      <c r="E5" s="132">
        <f t="shared" ref="E5:E17" si="0">C5+D5</f>
        <v>0</v>
      </c>
      <c r="F5" s="131">
        <v>0</v>
      </c>
      <c r="G5" s="131">
        <v>0</v>
      </c>
      <c r="H5" s="132">
        <f t="shared" ref="H5:H17" si="1">F5+G5</f>
        <v>0</v>
      </c>
      <c r="I5" s="132">
        <f t="shared" ref="I5:I17" si="2">E5+H5</f>
        <v>0</v>
      </c>
    </row>
    <row r="6" spans="1:9" ht="27.6" customHeight="1" x14ac:dyDescent="0.3">
      <c r="A6" s="118" t="s">
        <v>313</v>
      </c>
      <c r="B6" s="111" t="s">
        <v>314</v>
      </c>
      <c r="C6" s="131">
        <f>40056.3+31728.57+55770</f>
        <v>127554.87</v>
      </c>
      <c r="D6" s="131">
        <v>0</v>
      </c>
      <c r="E6" s="132">
        <f t="shared" si="0"/>
        <v>127554.87</v>
      </c>
      <c r="F6" s="131">
        <v>0</v>
      </c>
      <c r="G6" s="131">
        <v>24235.43</v>
      </c>
      <c r="H6" s="132">
        <f t="shared" si="1"/>
        <v>24235.43</v>
      </c>
      <c r="I6" s="132">
        <f t="shared" si="2"/>
        <v>151790.29999999999</v>
      </c>
    </row>
    <row r="7" spans="1:9" x14ac:dyDescent="0.3">
      <c r="A7" s="118" t="s">
        <v>315</v>
      </c>
      <c r="B7" s="112" t="s">
        <v>316</v>
      </c>
      <c r="C7" s="131">
        <v>225953.2</v>
      </c>
      <c r="D7" s="131">
        <v>0</v>
      </c>
      <c r="E7" s="132">
        <f t="shared" si="0"/>
        <v>225953.2</v>
      </c>
      <c r="F7" s="131">
        <v>0</v>
      </c>
      <c r="G7" s="131">
        <v>42931.11</v>
      </c>
      <c r="H7" s="132">
        <f t="shared" si="1"/>
        <v>42931.11</v>
      </c>
      <c r="I7" s="132">
        <f t="shared" si="2"/>
        <v>268884.31</v>
      </c>
    </row>
    <row r="8" spans="1:9" x14ac:dyDescent="0.3">
      <c r="A8" s="118" t="s">
        <v>317</v>
      </c>
      <c r="B8" s="112" t="s">
        <v>318</v>
      </c>
      <c r="C8" s="131">
        <v>0</v>
      </c>
      <c r="D8" s="131">
        <v>0</v>
      </c>
      <c r="E8" s="132">
        <f t="shared" si="0"/>
        <v>0</v>
      </c>
      <c r="F8" s="131">
        <v>0</v>
      </c>
      <c r="G8" s="131">
        <v>0</v>
      </c>
      <c r="H8" s="132">
        <f t="shared" si="1"/>
        <v>0</v>
      </c>
      <c r="I8" s="132">
        <f t="shared" si="2"/>
        <v>0</v>
      </c>
    </row>
    <row r="9" spans="1:9" ht="41.4" customHeight="1" x14ac:dyDescent="0.3">
      <c r="A9" s="118" t="s">
        <v>319</v>
      </c>
      <c r="B9" s="111" t="s">
        <v>320</v>
      </c>
      <c r="C9" s="131">
        <v>0</v>
      </c>
      <c r="D9" s="131">
        <v>0</v>
      </c>
      <c r="E9" s="132">
        <f t="shared" si="0"/>
        <v>0</v>
      </c>
      <c r="F9" s="131">
        <v>0</v>
      </c>
      <c r="G9" s="131">
        <v>0</v>
      </c>
      <c r="H9" s="132">
        <f t="shared" si="1"/>
        <v>0</v>
      </c>
      <c r="I9" s="132">
        <f t="shared" si="2"/>
        <v>0</v>
      </c>
    </row>
    <row r="10" spans="1:9" ht="27.6" customHeight="1" x14ac:dyDescent="0.3">
      <c r="A10" s="118" t="s">
        <v>321</v>
      </c>
      <c r="B10" s="111" t="s">
        <v>322</v>
      </c>
      <c r="C10" s="131">
        <v>14300</v>
      </c>
      <c r="D10" s="131">
        <v>0</v>
      </c>
      <c r="E10" s="132">
        <f t="shared" si="0"/>
        <v>14300</v>
      </c>
      <c r="F10" s="131">
        <v>0</v>
      </c>
      <c r="G10" s="131">
        <v>0</v>
      </c>
      <c r="H10" s="132">
        <f t="shared" si="1"/>
        <v>0</v>
      </c>
      <c r="I10" s="132">
        <f t="shared" si="2"/>
        <v>14300</v>
      </c>
    </row>
    <row r="11" spans="1:9" ht="27.6" customHeight="1" x14ac:dyDescent="0.3">
      <c r="A11" s="118" t="s">
        <v>323</v>
      </c>
      <c r="B11" s="111" t="s">
        <v>324</v>
      </c>
      <c r="C11" s="131">
        <v>0</v>
      </c>
      <c r="D11" s="131">
        <v>0</v>
      </c>
      <c r="E11" s="132">
        <f t="shared" si="0"/>
        <v>0</v>
      </c>
      <c r="F11" s="131">
        <v>0</v>
      </c>
      <c r="G11" s="131">
        <v>0</v>
      </c>
      <c r="H11" s="132">
        <f t="shared" si="1"/>
        <v>0</v>
      </c>
      <c r="I11" s="132">
        <f t="shared" si="2"/>
        <v>0</v>
      </c>
    </row>
    <row r="12" spans="1:9" x14ac:dyDescent="0.3">
      <c r="A12" s="118" t="s">
        <v>325</v>
      </c>
      <c r="B12" s="111" t="s">
        <v>326</v>
      </c>
      <c r="C12" s="131">
        <v>0</v>
      </c>
      <c r="D12" s="131">
        <v>0</v>
      </c>
      <c r="E12" s="132">
        <f t="shared" si="0"/>
        <v>0</v>
      </c>
      <c r="F12" s="131">
        <v>0</v>
      </c>
      <c r="G12" s="131">
        <v>0</v>
      </c>
      <c r="H12" s="132">
        <f t="shared" si="1"/>
        <v>0</v>
      </c>
      <c r="I12" s="132">
        <f t="shared" si="2"/>
        <v>0</v>
      </c>
    </row>
    <row r="13" spans="1:9" ht="27.6" customHeight="1" x14ac:dyDescent="0.3">
      <c r="A13" s="118" t="s">
        <v>327</v>
      </c>
      <c r="B13" s="111" t="s">
        <v>328</v>
      </c>
      <c r="C13" s="131">
        <v>0</v>
      </c>
      <c r="D13" s="131">
        <v>0</v>
      </c>
      <c r="E13" s="132">
        <f t="shared" si="0"/>
        <v>0</v>
      </c>
      <c r="F13" s="131">
        <v>0</v>
      </c>
      <c r="G13" s="131">
        <v>0</v>
      </c>
      <c r="H13" s="132">
        <f t="shared" si="1"/>
        <v>0</v>
      </c>
      <c r="I13" s="132">
        <f t="shared" si="2"/>
        <v>0</v>
      </c>
    </row>
    <row r="14" spans="1:9" ht="41.4" customHeight="1" x14ac:dyDescent="0.3">
      <c r="A14" s="118" t="s">
        <v>329</v>
      </c>
      <c r="B14" s="111" t="s">
        <v>330</v>
      </c>
      <c r="C14" s="131">
        <v>0</v>
      </c>
      <c r="D14" s="131">
        <f>D15+D16</f>
        <v>0</v>
      </c>
      <c r="E14" s="132">
        <f t="shared" si="0"/>
        <v>0</v>
      </c>
      <c r="F14" s="131">
        <f>F15+F16</f>
        <v>0</v>
      </c>
      <c r="G14" s="131">
        <v>0</v>
      </c>
      <c r="H14" s="132">
        <f t="shared" si="1"/>
        <v>0</v>
      </c>
      <c r="I14" s="132">
        <f t="shared" si="2"/>
        <v>0</v>
      </c>
    </row>
    <row r="15" spans="1:9" ht="41.4" customHeight="1" x14ac:dyDescent="0.3">
      <c r="A15" s="118" t="s">
        <v>331</v>
      </c>
      <c r="B15" s="111" t="s">
        <v>332</v>
      </c>
      <c r="C15" s="131"/>
      <c r="D15" s="131">
        <v>0</v>
      </c>
      <c r="E15" s="132">
        <f t="shared" si="0"/>
        <v>0</v>
      </c>
      <c r="F15" s="131">
        <v>0</v>
      </c>
      <c r="G15" s="131"/>
      <c r="H15" s="132">
        <f t="shared" si="1"/>
        <v>0</v>
      </c>
      <c r="I15" s="132">
        <f t="shared" si="2"/>
        <v>0</v>
      </c>
    </row>
    <row r="16" spans="1:9" ht="69" customHeight="1" x14ac:dyDescent="0.3">
      <c r="A16" s="118" t="s">
        <v>333</v>
      </c>
      <c r="B16" s="111" t="s">
        <v>334</v>
      </c>
      <c r="C16" s="131">
        <v>0</v>
      </c>
      <c r="D16" s="131">
        <v>0</v>
      </c>
      <c r="E16" s="132">
        <f t="shared" si="0"/>
        <v>0</v>
      </c>
      <c r="F16" s="131">
        <v>0</v>
      </c>
      <c r="G16" s="131">
        <v>0</v>
      </c>
      <c r="H16" s="132">
        <f t="shared" si="1"/>
        <v>0</v>
      </c>
      <c r="I16" s="132">
        <f t="shared" si="2"/>
        <v>0</v>
      </c>
    </row>
    <row r="17" spans="1:9" ht="55.2" customHeight="1" x14ac:dyDescent="0.3">
      <c r="A17" s="118" t="s">
        <v>335</v>
      </c>
      <c r="B17" s="111" t="s">
        <v>336</v>
      </c>
      <c r="C17" s="131">
        <v>0</v>
      </c>
      <c r="D17" s="131">
        <v>0</v>
      </c>
      <c r="E17" s="132">
        <f t="shared" si="0"/>
        <v>0</v>
      </c>
      <c r="F17" s="131">
        <v>0</v>
      </c>
      <c r="G17" s="131">
        <v>0</v>
      </c>
      <c r="H17" s="132">
        <f t="shared" si="1"/>
        <v>0</v>
      </c>
      <c r="I17" s="132">
        <f t="shared" si="2"/>
        <v>0</v>
      </c>
    </row>
    <row r="18" spans="1:9" s="117" customFormat="1" x14ac:dyDescent="0.3">
      <c r="A18" s="118"/>
      <c r="B18" s="123" t="s">
        <v>337</v>
      </c>
      <c r="C18" s="133">
        <f t="shared" ref="C18:I18" si="3">SUM(C5:C17)</f>
        <v>367808.07</v>
      </c>
      <c r="D18" s="133">
        <f t="shared" si="3"/>
        <v>0</v>
      </c>
      <c r="E18" s="133">
        <f t="shared" si="3"/>
        <v>367808.07</v>
      </c>
      <c r="F18" s="133">
        <f t="shared" si="3"/>
        <v>0</v>
      </c>
      <c r="G18" s="133">
        <f t="shared" si="3"/>
        <v>67166.540000000008</v>
      </c>
      <c r="H18" s="133">
        <f t="shared" si="3"/>
        <v>67166.540000000008</v>
      </c>
      <c r="I18" s="133">
        <f t="shared" si="3"/>
        <v>434974.61</v>
      </c>
    </row>
    <row r="19" spans="1:9" s="86" customFormat="1" ht="13.8" customHeight="1" x14ac:dyDescent="0.3">
      <c r="A19" s="119"/>
      <c r="B19" s="124" t="s">
        <v>338</v>
      </c>
      <c r="C19" s="134">
        <v>0</v>
      </c>
      <c r="D19" s="134">
        <v>0</v>
      </c>
      <c r="E19" s="135">
        <f>C19+D19</f>
        <v>0</v>
      </c>
      <c r="F19" s="134">
        <v>0</v>
      </c>
      <c r="G19" s="134">
        <v>0</v>
      </c>
      <c r="H19" s="135">
        <f>F19+G19</f>
        <v>0</v>
      </c>
      <c r="I19" s="136">
        <f>E19+H19</f>
        <v>0</v>
      </c>
    </row>
    <row r="20" spans="1:9" s="87" customFormat="1" ht="13.8" customHeight="1" x14ac:dyDescent="0.3">
      <c r="A20" s="246"/>
      <c r="B20" s="114"/>
      <c r="C20" s="137"/>
      <c r="D20" s="137"/>
      <c r="E20" s="137"/>
      <c r="F20" s="137"/>
      <c r="G20" s="137"/>
      <c r="H20" s="137"/>
      <c r="I20" s="137"/>
    </row>
    <row r="21" spans="1:9" x14ac:dyDescent="0.3">
      <c r="A21" s="120"/>
      <c r="B21" s="115"/>
      <c r="C21" s="137"/>
      <c r="D21" s="137"/>
      <c r="E21" s="137"/>
      <c r="F21" s="137"/>
      <c r="G21" s="137"/>
      <c r="H21" s="137"/>
      <c r="I21" s="137"/>
    </row>
    <row r="22" spans="1:9" x14ac:dyDescent="0.3">
      <c r="A22" s="89" t="s">
        <v>339</v>
      </c>
      <c r="B22" s="88" t="s">
        <v>340</v>
      </c>
      <c r="C22" s="178" t="s">
        <v>341</v>
      </c>
      <c r="D22" s="137"/>
      <c r="E22" s="137"/>
      <c r="F22" s="137"/>
      <c r="G22" s="137"/>
      <c r="H22" s="137"/>
      <c r="I22" s="137"/>
    </row>
    <row r="23" spans="1:9" x14ac:dyDescent="0.3">
      <c r="A23" s="85" t="s">
        <v>342</v>
      </c>
      <c r="B23" s="89" t="s">
        <v>343</v>
      </c>
      <c r="C23" s="249">
        <f>I18</f>
        <v>434974.61</v>
      </c>
      <c r="D23" s="137"/>
      <c r="E23" s="137"/>
      <c r="F23" s="137"/>
      <c r="G23" s="137"/>
      <c r="H23" s="137"/>
      <c r="I23" s="137"/>
    </row>
    <row r="24" spans="1:9" x14ac:dyDescent="0.3">
      <c r="A24" s="85" t="s">
        <v>344</v>
      </c>
      <c r="B24" s="85" t="s">
        <v>345</v>
      </c>
      <c r="C24" s="250">
        <f>H18</f>
        <v>67166.540000000008</v>
      </c>
      <c r="D24" s="137"/>
      <c r="E24" s="137"/>
      <c r="F24" s="137"/>
      <c r="G24" s="137"/>
      <c r="H24" s="137"/>
      <c r="I24" s="137"/>
    </row>
    <row r="25" spans="1:9" x14ac:dyDescent="0.3">
      <c r="A25" s="85" t="s">
        <v>346</v>
      </c>
      <c r="B25" s="85" t="s">
        <v>347</v>
      </c>
      <c r="C25" s="250">
        <f>C23-C24</f>
        <v>367808.06999999995</v>
      </c>
      <c r="D25" s="137"/>
      <c r="E25" s="137"/>
      <c r="F25" s="137"/>
      <c r="G25" s="137"/>
      <c r="H25" s="137"/>
      <c r="I25" s="137"/>
    </row>
    <row r="26" spans="1:9" x14ac:dyDescent="0.3">
      <c r="A26" s="85" t="s">
        <v>348</v>
      </c>
      <c r="B26" s="89" t="s">
        <v>349</v>
      </c>
      <c r="C26" s="249">
        <f>SUM(C27:C28)</f>
        <v>232680.17</v>
      </c>
      <c r="D26" s="137"/>
      <c r="E26" s="137"/>
      <c r="F26" s="137"/>
      <c r="G26" s="137"/>
      <c r="H26" s="137"/>
      <c r="I26" s="137"/>
    </row>
    <row r="27" spans="1:9" x14ac:dyDescent="0.3">
      <c r="A27" s="85" t="s">
        <v>350</v>
      </c>
      <c r="B27" s="85" t="s">
        <v>351</v>
      </c>
      <c r="C27" s="138">
        <v>165513.63</v>
      </c>
      <c r="D27" s="357" t="str">
        <f>IF(C27&lt;C25*0.1,"!!! Contribuția la cheltuielile eligibile nu este de minimum 10%","")</f>
        <v/>
      </c>
      <c r="E27" s="358"/>
      <c r="F27" s="359"/>
      <c r="G27" s="359"/>
      <c r="H27" s="358"/>
      <c r="I27" s="358"/>
    </row>
    <row r="28" spans="1:9" x14ac:dyDescent="0.3">
      <c r="A28" s="85" t="s">
        <v>352</v>
      </c>
      <c r="B28" s="85" t="s">
        <v>353</v>
      </c>
      <c r="C28" s="250">
        <f>H18</f>
        <v>67166.540000000008</v>
      </c>
      <c r="D28" s="137"/>
      <c r="E28" s="137"/>
      <c r="F28" s="137"/>
      <c r="G28" s="137"/>
      <c r="H28" s="137"/>
      <c r="I28" s="137"/>
    </row>
    <row r="29" spans="1:9" x14ac:dyDescent="0.3">
      <c r="A29" s="85" t="s">
        <v>354</v>
      </c>
      <c r="B29" s="89" t="s">
        <v>355</v>
      </c>
      <c r="C29" s="249">
        <f>C23-C26</f>
        <v>202294.43999999997</v>
      </c>
      <c r="D29" s="137"/>
      <c r="E29" s="137"/>
      <c r="F29" s="137"/>
      <c r="G29" s="137"/>
      <c r="H29" s="137"/>
      <c r="I29" s="137"/>
    </row>
    <row r="30" spans="1:9" x14ac:dyDescent="0.3">
      <c r="A30" s="120"/>
      <c r="B30" s="114"/>
      <c r="C30" s="137"/>
      <c r="D30" s="137"/>
      <c r="E30" s="137"/>
      <c r="F30" s="137"/>
      <c r="G30" s="137"/>
      <c r="H30" s="137"/>
      <c r="I30" s="137"/>
    </row>
    <row r="31" spans="1:9" x14ac:dyDescent="0.3">
      <c r="A31" s="120"/>
      <c r="B31" s="114"/>
      <c r="C31" s="137"/>
      <c r="D31" s="137"/>
      <c r="E31" s="137"/>
      <c r="F31" s="137"/>
      <c r="G31" s="137"/>
      <c r="H31" s="137"/>
      <c r="I31" s="137"/>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58" workbookViewId="0">
      <selection activeCell="G73" sqref="G73"/>
    </sheetView>
  </sheetViews>
  <sheetFormatPr defaultColWidth="9.109375" defaultRowHeight="13.8" x14ac:dyDescent="0.3"/>
  <cols>
    <col min="1" max="1" width="4.44140625" style="28" customWidth="1"/>
    <col min="2" max="2" width="33" style="143" customWidth="1"/>
    <col min="3" max="3" width="10.44140625" style="129" customWidth="1"/>
    <col min="4" max="13" width="10.44140625" style="238" customWidth="1"/>
    <col min="14" max="14" width="9.109375" style="93" customWidth="1"/>
    <col min="15" max="16384" width="9.109375" style="93"/>
  </cols>
  <sheetData>
    <row r="1" spans="1:13" x14ac:dyDescent="0.3">
      <c r="A1" s="346" t="s">
        <v>356</v>
      </c>
      <c r="B1" s="368"/>
      <c r="C1" s="369"/>
      <c r="D1" s="370"/>
      <c r="E1" s="370"/>
      <c r="F1" s="370"/>
      <c r="G1" s="370"/>
    </row>
    <row r="2" spans="1:13" x14ac:dyDescent="0.3">
      <c r="A2" s="302"/>
      <c r="B2" s="141"/>
      <c r="C2" s="125"/>
      <c r="D2" s="125"/>
      <c r="E2" s="125"/>
      <c r="F2" s="125"/>
      <c r="G2" s="125"/>
    </row>
    <row r="3" spans="1:13" ht="189" customHeight="1" x14ac:dyDescent="0.3">
      <c r="A3" s="93"/>
      <c r="B3" s="372" t="s">
        <v>357</v>
      </c>
      <c r="C3" s="369"/>
      <c r="D3" s="370"/>
      <c r="E3" s="370"/>
      <c r="F3" s="370"/>
      <c r="G3" s="370"/>
      <c r="H3" s="370"/>
      <c r="I3" s="370"/>
      <c r="J3" s="370"/>
      <c r="K3" s="370"/>
      <c r="L3" s="370"/>
      <c r="M3" s="370"/>
    </row>
    <row r="4" spans="1:13" s="90" customFormat="1" ht="14.4" customHeight="1" x14ac:dyDescent="0.3">
      <c r="A4" s="377" t="s">
        <v>358</v>
      </c>
      <c r="B4" s="378"/>
      <c r="C4" s="378"/>
      <c r="D4" s="378"/>
      <c r="E4" s="378"/>
      <c r="F4" s="378"/>
      <c r="G4" s="378"/>
    </row>
    <row r="5" spans="1:13" s="90" customFormat="1" ht="14.4" customHeight="1" x14ac:dyDescent="0.3">
      <c r="A5" s="374" t="s">
        <v>359</v>
      </c>
      <c r="B5" s="373"/>
      <c r="C5" s="375" t="s">
        <v>286</v>
      </c>
      <c r="D5" s="376" t="s">
        <v>360</v>
      </c>
      <c r="E5" s="326"/>
      <c r="F5" s="326"/>
      <c r="G5" s="337"/>
    </row>
    <row r="6" spans="1:13" s="90" customFormat="1" ht="30.6" customHeight="1" x14ac:dyDescent="0.3">
      <c r="A6" s="348"/>
      <c r="B6" s="348"/>
      <c r="C6" s="348"/>
      <c r="D6" s="266" t="s">
        <v>361</v>
      </c>
      <c r="E6" s="305" t="s">
        <v>362</v>
      </c>
      <c r="F6" s="305" t="s">
        <v>363</v>
      </c>
      <c r="G6" s="305" t="s">
        <v>364</v>
      </c>
    </row>
    <row r="7" spans="1:13" s="90" customFormat="1" ht="14.4" customHeight="1" x14ac:dyDescent="0.3">
      <c r="A7" s="367" t="s">
        <v>365</v>
      </c>
      <c r="B7" s="326"/>
      <c r="C7" s="326"/>
      <c r="D7" s="326"/>
      <c r="E7" s="326"/>
      <c r="F7" s="326"/>
      <c r="G7" s="337"/>
    </row>
    <row r="8" spans="1:13" s="90" customFormat="1" ht="14.4" customHeight="1" x14ac:dyDescent="0.3">
      <c r="A8" s="366" t="s">
        <v>366</v>
      </c>
      <c r="B8" s="326"/>
      <c r="C8" s="326"/>
      <c r="D8" s="326"/>
      <c r="E8" s="326"/>
      <c r="F8" s="326"/>
      <c r="G8" s="337"/>
    </row>
    <row r="9" spans="1:13" s="90" customFormat="1" ht="14.4" customHeight="1" x14ac:dyDescent="0.3">
      <c r="A9" s="4">
        <v>1</v>
      </c>
      <c r="B9" s="306" t="s">
        <v>367</v>
      </c>
      <c r="C9" s="128">
        <f>SUM(D9:G9)</f>
        <v>0</v>
      </c>
      <c r="D9" s="127">
        <f>D10*D11</f>
        <v>0</v>
      </c>
      <c r="E9" s="127">
        <f>E10*E11</f>
        <v>0</v>
      </c>
      <c r="F9" s="127">
        <f>F10*F11</f>
        <v>0</v>
      </c>
      <c r="G9" s="127">
        <f>G10*G11</f>
        <v>0</v>
      </c>
    </row>
    <row r="10" spans="1:13" s="91" customFormat="1" ht="14.4" customHeight="1" x14ac:dyDescent="0.3">
      <c r="A10" s="5"/>
      <c r="B10" s="306" t="s">
        <v>368</v>
      </c>
      <c r="C10" s="128"/>
      <c r="D10" s="126">
        <v>0</v>
      </c>
      <c r="E10" s="126">
        <v>0</v>
      </c>
      <c r="F10" s="126">
        <v>0</v>
      </c>
      <c r="G10" s="126">
        <v>0</v>
      </c>
    </row>
    <row r="11" spans="1:13" s="91" customFormat="1" ht="14.4" customHeight="1" x14ac:dyDescent="0.3">
      <c r="A11" s="5"/>
      <c r="B11" s="306" t="s">
        <v>369</v>
      </c>
      <c r="C11" s="128"/>
      <c r="D11" s="126">
        <v>0</v>
      </c>
      <c r="E11" s="126">
        <v>0</v>
      </c>
      <c r="F11" s="126">
        <v>0</v>
      </c>
      <c r="G11" s="126">
        <v>0</v>
      </c>
    </row>
    <row r="12" spans="1:13" s="90" customFormat="1" ht="14.4" customHeight="1" x14ac:dyDescent="0.3">
      <c r="A12" s="4">
        <v>2</v>
      </c>
      <c r="B12" s="306" t="s">
        <v>370</v>
      </c>
      <c r="C12" s="128">
        <f>SUM(D12:G12)</f>
        <v>0</v>
      </c>
      <c r="D12" s="127">
        <f>D13*D14</f>
        <v>0</v>
      </c>
      <c r="E12" s="127">
        <f>E13*E14</f>
        <v>0</v>
      </c>
      <c r="F12" s="127">
        <f>F13*F14</f>
        <v>0</v>
      </c>
      <c r="G12" s="127">
        <f>G13*G14</f>
        <v>0</v>
      </c>
    </row>
    <row r="13" spans="1:13" s="91" customFormat="1" ht="14.4" customHeight="1" x14ac:dyDescent="0.3">
      <c r="A13" s="5"/>
      <c r="B13" s="306" t="s">
        <v>371</v>
      </c>
      <c r="C13" s="128"/>
      <c r="D13" s="126"/>
      <c r="E13" s="126"/>
      <c r="F13" s="126"/>
      <c r="G13" s="126"/>
      <c r="K13" s="236"/>
    </row>
    <row r="14" spans="1:13" s="91" customFormat="1" ht="14.4" customHeight="1" x14ac:dyDescent="0.3">
      <c r="A14" s="5"/>
      <c r="B14" s="306" t="s">
        <v>372</v>
      </c>
      <c r="C14" s="128"/>
      <c r="D14" s="126">
        <f>'1B-ContPP'!D13*1.03*1.19</f>
        <v>0</v>
      </c>
      <c r="E14" s="126">
        <f>D14*1.03</f>
        <v>0</v>
      </c>
      <c r="F14" s="126">
        <f>E14</f>
        <v>0</v>
      </c>
      <c r="G14" s="126">
        <f>F14</f>
        <v>0</v>
      </c>
    </row>
    <row r="15" spans="1:13" s="90" customFormat="1" ht="14.4" customHeight="1" x14ac:dyDescent="0.3">
      <c r="A15" s="4">
        <v>3</v>
      </c>
      <c r="B15" s="306" t="s">
        <v>373</v>
      </c>
      <c r="C15" s="128">
        <f>SUM(D15:G15)</f>
        <v>17211147.646056</v>
      </c>
      <c r="D15" s="127">
        <f>D16*D17</f>
        <v>4239198.9276000001</v>
      </c>
      <c r="E15" s="127">
        <f>E16*E17</f>
        <v>4281590.9168760004</v>
      </c>
      <c r="F15" s="127">
        <f>F16*F17</f>
        <v>4323982.9061520007</v>
      </c>
      <c r="G15" s="127">
        <f>G16*G17</f>
        <v>4366374.8954280009</v>
      </c>
    </row>
    <row r="16" spans="1:13" s="91" customFormat="1" ht="14.4" customHeight="1" x14ac:dyDescent="0.3">
      <c r="A16" s="5"/>
      <c r="B16" s="306" t="s">
        <v>374</v>
      </c>
      <c r="C16" s="128"/>
      <c r="D16" s="126">
        <v>1</v>
      </c>
      <c r="E16" s="126">
        <v>1</v>
      </c>
      <c r="F16" s="126">
        <v>1</v>
      </c>
      <c r="G16" s="126">
        <v>1</v>
      </c>
    </row>
    <row r="17" spans="1:7" s="91" customFormat="1" ht="14.4" customHeight="1" x14ac:dyDescent="0.3">
      <c r="A17" s="5"/>
      <c r="B17" s="306" t="s">
        <v>375</v>
      </c>
      <c r="C17" s="128"/>
      <c r="D17" s="126">
        <f>'1B-ContPP'!C6*1.19*0.02 + '1B-ContPP'!C6*1.19</f>
        <v>4239198.9276000001</v>
      </c>
      <c r="E17" s="126">
        <f>D17*0.01 + D17</f>
        <v>4281590.9168760004</v>
      </c>
      <c r="F17" s="126">
        <f>D17*0.01 + E17</f>
        <v>4323982.9061520007</v>
      </c>
      <c r="G17" s="126">
        <f>D17*0.01 +F17</f>
        <v>4366374.8954280009</v>
      </c>
    </row>
    <row r="18" spans="1:7" s="92" customFormat="1" ht="24" customHeight="1" x14ac:dyDescent="0.3">
      <c r="A18" s="147"/>
      <c r="B18" s="311" t="s">
        <v>376</v>
      </c>
      <c r="C18" s="128">
        <f>SUM(D18:G18)</f>
        <v>17211147.646056</v>
      </c>
      <c r="D18" s="128">
        <f>D9+D12+D15</f>
        <v>4239198.9276000001</v>
      </c>
      <c r="E18" s="128">
        <f>E9+E12+E15</f>
        <v>4281590.9168760004</v>
      </c>
      <c r="F18" s="128">
        <f>F9+F12+F15</f>
        <v>4323982.9061520007</v>
      </c>
      <c r="G18" s="128">
        <f>G9+G12+G15</f>
        <v>4366374.8954280009</v>
      </c>
    </row>
    <row r="19" spans="1:7" s="92" customFormat="1" ht="14.4" customHeight="1" x14ac:dyDescent="0.3">
      <c r="A19" s="367" t="s">
        <v>377</v>
      </c>
      <c r="B19" s="326"/>
      <c r="C19" s="326"/>
      <c r="D19" s="326"/>
      <c r="E19" s="326"/>
      <c r="F19" s="326"/>
      <c r="G19" s="337"/>
    </row>
    <row r="20" spans="1:7" s="92" customFormat="1" ht="14.4" customHeight="1" x14ac:dyDescent="0.3">
      <c r="A20" s="366" t="s">
        <v>378</v>
      </c>
      <c r="B20" s="326"/>
      <c r="C20" s="326"/>
      <c r="D20" s="326"/>
      <c r="E20" s="326"/>
      <c r="F20" s="326"/>
      <c r="G20" s="337"/>
    </row>
    <row r="21" spans="1:7" s="90" customFormat="1" ht="24" customHeight="1" x14ac:dyDescent="0.3">
      <c r="A21" s="4">
        <v>5</v>
      </c>
      <c r="B21" s="6" t="s">
        <v>379</v>
      </c>
      <c r="C21" s="128">
        <f>SUM(D21:G21)</f>
        <v>896991.99617299985</v>
      </c>
      <c r="D21" s="127">
        <f>SUM(D22*D23)+SUM(D24*D25)</f>
        <v>222578.65909999999</v>
      </c>
      <c r="E21" s="127">
        <f>SUM(E22*E23)+SUM(E24*E25)</f>
        <v>223691.55239549998</v>
      </c>
      <c r="F21" s="127">
        <f>SUM(F22*F23)+SUM(F24*F25)</f>
        <v>224804.44569099997</v>
      </c>
      <c r="G21" s="127">
        <f>SUM(G22*G23)+SUM(G24*G25)</f>
        <v>225917.33898649996</v>
      </c>
    </row>
    <row r="22" spans="1:7" s="92" customFormat="1" ht="14.4" customHeight="1" x14ac:dyDescent="0.3">
      <c r="A22" s="4"/>
      <c r="B22" s="306" t="s">
        <v>380</v>
      </c>
      <c r="C22" s="128"/>
      <c r="D22" s="126">
        <v>1</v>
      </c>
      <c r="E22" s="126">
        <v>1</v>
      </c>
      <c r="F22" s="126">
        <v>1</v>
      </c>
      <c r="G22" s="126">
        <v>1</v>
      </c>
    </row>
    <row r="23" spans="1:7" s="92" customFormat="1" ht="14.4" customHeight="1" x14ac:dyDescent="0.3">
      <c r="A23" s="4"/>
      <c r="B23" s="306" t="s">
        <v>381</v>
      </c>
      <c r="C23" s="128"/>
      <c r="D23" s="126">
        <f>('1B-ContPP'!C14 +'1B-ContPP'!C15)*1.19*0.01 + ('1B-ContPP'!C14 +'1B-ContPP'!C15)*1.19</f>
        <v>222578.65909999999</v>
      </c>
      <c r="E23" s="126">
        <f>D23*0.005 + D23</f>
        <v>223691.55239549998</v>
      </c>
      <c r="F23" s="126">
        <f>D23*0.005 +E23</f>
        <v>224804.44569099997</v>
      </c>
      <c r="G23" s="126">
        <f>D23*0.005 +F23</f>
        <v>225917.33898649996</v>
      </c>
    </row>
    <row r="24" spans="1:7" s="92" customFormat="1" ht="14.4" customHeight="1" x14ac:dyDescent="0.3">
      <c r="A24" s="4"/>
      <c r="B24" s="306" t="s">
        <v>382</v>
      </c>
      <c r="C24" s="128"/>
      <c r="D24" s="126">
        <v>1</v>
      </c>
      <c r="E24" s="126">
        <v>1</v>
      </c>
      <c r="F24" s="126">
        <v>1</v>
      </c>
      <c r="G24" s="126">
        <v>1</v>
      </c>
    </row>
    <row r="25" spans="1:7" s="92" customFormat="1" ht="14.4" customHeight="1" x14ac:dyDescent="0.3">
      <c r="A25" s="4"/>
      <c r="B25" s="306" t="s">
        <v>383</v>
      </c>
      <c r="C25" s="128"/>
      <c r="D25" s="126">
        <v>0</v>
      </c>
      <c r="E25" s="126">
        <f>D25*1.05</f>
        <v>0</v>
      </c>
      <c r="F25" s="126">
        <f>E25*1.05</f>
        <v>0</v>
      </c>
      <c r="G25" s="126">
        <f>F25*1.05</f>
        <v>0</v>
      </c>
    </row>
    <row r="26" spans="1:7" s="90" customFormat="1" ht="14.4" customHeight="1" x14ac:dyDescent="0.3">
      <c r="A26" s="4">
        <v>6</v>
      </c>
      <c r="B26" s="6" t="s">
        <v>384</v>
      </c>
      <c r="C26" s="128">
        <f>SUM(D26:G26)</f>
        <v>6315306.6730845002</v>
      </c>
      <c r="D26" s="127">
        <f>D27*D28</f>
        <v>1567073.6161499999</v>
      </c>
      <c r="E26" s="127">
        <f>E27*E28</f>
        <v>1574908.98423075</v>
      </c>
      <c r="F26" s="127">
        <f>F27*F28</f>
        <v>1582744.3523115001</v>
      </c>
      <c r="G26" s="127">
        <f>G27*G28</f>
        <v>1590579.7203922502</v>
      </c>
    </row>
    <row r="27" spans="1:7" s="92" customFormat="1" ht="14.4" customHeight="1" x14ac:dyDescent="0.3">
      <c r="A27" s="4"/>
      <c r="B27" s="306" t="s">
        <v>374</v>
      </c>
      <c r="C27" s="128"/>
      <c r="D27" s="126">
        <v>1</v>
      </c>
      <c r="E27" s="126">
        <v>1</v>
      </c>
      <c r="F27" s="126">
        <v>1</v>
      </c>
      <c r="G27" s="126">
        <v>1</v>
      </c>
    </row>
    <row r="28" spans="1:7" s="92" customFormat="1" ht="14.4" customHeight="1" x14ac:dyDescent="0.3">
      <c r="A28" s="4"/>
      <c r="B28" s="306" t="s">
        <v>385</v>
      </c>
      <c r="C28" s="128"/>
      <c r="D28" s="126">
        <f>'1B-ContPP'!C17*1.19*0.005 + '1B-ContPP'!C17*1.19</f>
        <v>1567073.6161499999</v>
      </c>
      <c r="E28" s="126">
        <f>D28*0.005 + D28</f>
        <v>1574908.98423075</v>
      </c>
      <c r="F28" s="126">
        <f>D28*0.005+E28</f>
        <v>1582744.3523115001</v>
      </c>
      <c r="G28" s="126">
        <f>D28*0.005 +F28</f>
        <v>1590579.7203922502</v>
      </c>
    </row>
    <row r="29" spans="1:7" s="92" customFormat="1" ht="24" customHeight="1" x14ac:dyDescent="0.3">
      <c r="A29" s="4">
        <v>7</v>
      </c>
      <c r="B29" s="306" t="s">
        <v>386</v>
      </c>
      <c r="C29" s="128">
        <f>SUM(D29:G29)</f>
        <v>0</v>
      </c>
      <c r="D29" s="126">
        <v>0</v>
      </c>
      <c r="E29" s="126">
        <f>D29*1.01</f>
        <v>0</v>
      </c>
      <c r="F29" s="126">
        <f>E29*1.01</f>
        <v>0</v>
      </c>
      <c r="G29" s="126">
        <f>F29*1.01</f>
        <v>0</v>
      </c>
    </row>
    <row r="30" spans="1:7" s="92" customFormat="1" ht="14.4" customHeight="1" x14ac:dyDescent="0.3">
      <c r="A30" s="4">
        <v>8</v>
      </c>
      <c r="B30" s="306" t="s">
        <v>387</v>
      </c>
      <c r="C30" s="128">
        <f>SUM(D30:G30)</f>
        <v>501780.99062</v>
      </c>
      <c r="D30" s="127">
        <f>D31*D32</f>
        <v>123591.37699999999</v>
      </c>
      <c r="E30" s="127">
        <f>E31*E32</f>
        <v>124827.29076999999</v>
      </c>
      <c r="F30" s="127">
        <f>F31*F32</f>
        <v>126063.20453999999</v>
      </c>
      <c r="G30" s="127">
        <f>G31*G32</f>
        <v>127299.11830999999</v>
      </c>
    </row>
    <row r="31" spans="1:7" s="92" customFormat="1" ht="24" customHeight="1" x14ac:dyDescent="0.3">
      <c r="A31" s="4"/>
      <c r="B31" s="306" t="s">
        <v>388</v>
      </c>
      <c r="C31" s="128"/>
      <c r="D31" s="126">
        <v>1</v>
      </c>
      <c r="E31" s="126">
        <v>1</v>
      </c>
      <c r="F31" s="126">
        <v>1</v>
      </c>
      <c r="G31" s="126">
        <v>1</v>
      </c>
    </row>
    <row r="32" spans="1:7" s="92" customFormat="1" ht="14.4" customHeight="1" x14ac:dyDescent="0.3">
      <c r="A32" s="4"/>
      <c r="B32" s="306" t="s">
        <v>389</v>
      </c>
      <c r="C32" s="128"/>
      <c r="D32" s="126">
        <f>'1B-ContPP'!C16*1.19*0.01 + '1B-ContPP'!C16*1.19</f>
        <v>123591.37699999999</v>
      </c>
      <c r="E32" s="126">
        <f>D32*0.01 + D32</f>
        <v>124827.29076999999</v>
      </c>
      <c r="F32" s="126">
        <f>D32*0.01 + E32</f>
        <v>126063.20453999999</v>
      </c>
      <c r="G32" s="126">
        <f>D32*0.01 + F32</f>
        <v>127299.11830999999</v>
      </c>
    </row>
    <row r="33" spans="1:7" s="92" customFormat="1" ht="14.4" customHeight="1" x14ac:dyDescent="0.3">
      <c r="A33" s="4">
        <v>9</v>
      </c>
      <c r="B33" s="306" t="s">
        <v>390</v>
      </c>
      <c r="C33" s="128">
        <f>SUM(D33:G33)</f>
        <v>0</v>
      </c>
      <c r="D33" s="127">
        <f>D34*D35</f>
        <v>0</v>
      </c>
      <c r="E33" s="127">
        <f>E34*E35</f>
        <v>0</v>
      </c>
      <c r="F33" s="127">
        <f>F34*F35</f>
        <v>0</v>
      </c>
      <c r="G33" s="127">
        <f>G34*G35</f>
        <v>0</v>
      </c>
    </row>
    <row r="34" spans="1:7" s="92" customFormat="1" ht="24" customHeight="1" x14ac:dyDescent="0.3">
      <c r="A34" s="4"/>
      <c r="B34" s="306" t="s">
        <v>388</v>
      </c>
      <c r="C34" s="128"/>
      <c r="D34" s="126">
        <v>0</v>
      </c>
      <c r="E34" s="126">
        <v>0</v>
      </c>
      <c r="F34" s="126">
        <v>0</v>
      </c>
      <c r="G34" s="126">
        <v>0</v>
      </c>
    </row>
    <row r="35" spans="1:7" s="92" customFormat="1" ht="14.4" customHeight="1" x14ac:dyDescent="0.3">
      <c r="A35" s="4"/>
      <c r="B35" s="306" t="s">
        <v>389</v>
      </c>
      <c r="C35" s="128"/>
      <c r="D35" s="126">
        <v>0</v>
      </c>
      <c r="E35" s="126">
        <v>0</v>
      </c>
      <c r="F35" s="126">
        <v>0</v>
      </c>
      <c r="G35" s="126">
        <v>0</v>
      </c>
    </row>
    <row r="36" spans="1:7" s="92" customFormat="1" ht="14.4" customHeight="1" x14ac:dyDescent="0.3">
      <c r="A36" s="4">
        <v>10</v>
      </c>
      <c r="B36" s="306" t="s">
        <v>391</v>
      </c>
      <c r="C36" s="128">
        <f>SUM(D36:G36)</f>
        <v>0</v>
      </c>
      <c r="D36" s="127">
        <f>D37*D38</f>
        <v>0</v>
      </c>
      <c r="E36" s="127">
        <f>E37*E38</f>
        <v>0</v>
      </c>
      <c r="F36" s="127">
        <f>F37*F38</f>
        <v>0</v>
      </c>
      <c r="G36" s="127">
        <f>G37*G38</f>
        <v>0</v>
      </c>
    </row>
    <row r="37" spans="1:7" s="92" customFormat="1" ht="24" customHeight="1" x14ac:dyDescent="0.3">
      <c r="A37" s="4"/>
      <c r="B37" s="306" t="s">
        <v>388</v>
      </c>
      <c r="C37" s="128"/>
      <c r="D37" s="126">
        <v>0</v>
      </c>
      <c r="E37" s="126">
        <v>0</v>
      </c>
      <c r="F37" s="126">
        <v>0</v>
      </c>
      <c r="G37" s="126">
        <v>0</v>
      </c>
    </row>
    <row r="38" spans="1:7" s="92" customFormat="1" ht="14.4" customHeight="1" x14ac:dyDescent="0.3">
      <c r="A38" s="4"/>
      <c r="B38" s="306" t="s">
        <v>389</v>
      </c>
      <c r="C38" s="128"/>
      <c r="D38" s="126">
        <v>0</v>
      </c>
      <c r="E38" s="126">
        <v>0</v>
      </c>
      <c r="F38" s="126">
        <v>0</v>
      </c>
      <c r="G38" s="126">
        <v>0</v>
      </c>
    </row>
    <row r="39" spans="1:7" s="90" customFormat="1" ht="14.4" customHeight="1" x14ac:dyDescent="0.3">
      <c r="A39" s="4"/>
      <c r="B39" s="311" t="s">
        <v>392</v>
      </c>
      <c r="C39" s="128">
        <f>SUM(D39:G39)</f>
        <v>7714079.6598775005</v>
      </c>
      <c r="D39" s="128">
        <f>D21+D26+D29+D30+D33+D36</f>
        <v>1913243.65225</v>
      </c>
      <c r="E39" s="128">
        <f>E21+E26+E29+E30+E33+E36</f>
        <v>1923427.8273962501</v>
      </c>
      <c r="F39" s="128">
        <f>F21+F26+F29+F30+F33+F36</f>
        <v>1933612.0025425002</v>
      </c>
      <c r="G39" s="128">
        <f>G21+G26+G29+G30+G33+G36</f>
        <v>1943796.1776887502</v>
      </c>
    </row>
    <row r="40" spans="1:7" s="90" customFormat="1" ht="14.4" customHeight="1" x14ac:dyDescent="0.3">
      <c r="A40" s="4">
        <v>11</v>
      </c>
      <c r="B40" s="306" t="s">
        <v>393</v>
      </c>
      <c r="C40" s="128">
        <f>SUM(D40:G40)</f>
        <v>4382472</v>
      </c>
      <c r="D40" s="128">
        <f>(D41*D42)*D43</f>
        <v>1095618</v>
      </c>
      <c r="E40" s="128">
        <f>(E41*E42)*E43</f>
        <v>1095618</v>
      </c>
      <c r="F40" s="128">
        <f>(F41*F42)*F43</f>
        <v>1095618</v>
      </c>
      <c r="G40" s="128">
        <f>(G41*G42)*G43</f>
        <v>1095618</v>
      </c>
    </row>
    <row r="41" spans="1:7" s="90" customFormat="1" ht="14.4" customHeight="1" x14ac:dyDescent="0.3">
      <c r="A41" s="4"/>
      <c r="B41" s="306" t="s">
        <v>394</v>
      </c>
      <c r="C41" s="128"/>
      <c r="D41" s="126">
        <v>1</v>
      </c>
      <c r="E41" s="126">
        <v>1</v>
      </c>
      <c r="F41" s="126">
        <v>1</v>
      </c>
      <c r="G41" s="126">
        <v>1</v>
      </c>
    </row>
    <row r="42" spans="1:7" s="90" customFormat="1" ht="14.4" customHeight="1" x14ac:dyDescent="0.3">
      <c r="A42" s="4"/>
      <c r="B42" s="306" t="s">
        <v>395</v>
      </c>
      <c r="C42" s="128"/>
      <c r="D42" s="126">
        <f>'1B-ContPP'!C19</f>
        <v>1095618</v>
      </c>
      <c r="E42" s="126">
        <f>D42*1</f>
        <v>1095618</v>
      </c>
      <c r="F42" s="126">
        <f>E42*1</f>
        <v>1095618</v>
      </c>
      <c r="G42" s="126">
        <f>F42*1</f>
        <v>1095618</v>
      </c>
    </row>
    <row r="43" spans="1:7" s="90" customFormat="1" ht="14.4" customHeight="1" x14ac:dyDescent="0.3">
      <c r="A43" s="4"/>
      <c r="B43" s="306" t="s">
        <v>396</v>
      </c>
      <c r="C43" s="128"/>
      <c r="D43" s="126">
        <v>1</v>
      </c>
      <c r="E43" s="126">
        <v>1</v>
      </c>
      <c r="F43" s="126">
        <v>1</v>
      </c>
      <c r="G43" s="126">
        <v>1</v>
      </c>
    </row>
    <row r="44" spans="1:7" s="90" customFormat="1" ht="14.4" customHeight="1" x14ac:dyDescent="0.3">
      <c r="A44" s="7">
        <v>12</v>
      </c>
      <c r="B44" s="6" t="s">
        <v>397</v>
      </c>
      <c r="C44" s="128">
        <f>SUM(D44:G44)</f>
        <v>98605.62</v>
      </c>
      <c r="D44" s="126">
        <f>'1B-ContPP'!C19*0.0225</f>
        <v>24651.404999999999</v>
      </c>
      <c r="E44" s="126">
        <f>D44*1</f>
        <v>24651.404999999999</v>
      </c>
      <c r="F44" s="126">
        <f>E44*1</f>
        <v>24651.404999999999</v>
      </c>
      <c r="G44" s="126">
        <f>F44*1</f>
        <v>24651.404999999999</v>
      </c>
    </row>
    <row r="45" spans="1:7" s="92" customFormat="1" ht="14.4" customHeight="1" x14ac:dyDescent="0.3">
      <c r="A45" s="4"/>
      <c r="B45" s="311" t="s">
        <v>398</v>
      </c>
      <c r="C45" s="128">
        <f>SUM(D45:G45)</f>
        <v>4481077.62</v>
      </c>
      <c r="D45" s="213">
        <f>D40+D44</f>
        <v>1120269.405</v>
      </c>
      <c r="E45" s="213">
        <f>E40+E44</f>
        <v>1120269.405</v>
      </c>
      <c r="F45" s="213">
        <f>F40+F44</f>
        <v>1120269.405</v>
      </c>
      <c r="G45" s="213">
        <f>G40+G44</f>
        <v>1120269.405</v>
      </c>
    </row>
    <row r="46" spans="1:7" s="92" customFormat="1" ht="36" customHeight="1" x14ac:dyDescent="0.3">
      <c r="A46" s="4">
        <v>13</v>
      </c>
      <c r="B46" s="6" t="s">
        <v>399</v>
      </c>
      <c r="C46" s="128">
        <f>SUM(D46:G46)</f>
        <v>2243305.8339509997</v>
      </c>
      <c r="D46" s="126">
        <f>'1B-ContPP'!C22*1.19*0.01 + '1B-ContPP'!C22*1.19</f>
        <v>556651.57169999997</v>
      </c>
      <c r="E46" s="126">
        <f>D46*0.005 + D46</f>
        <v>559434.82955849997</v>
      </c>
      <c r="F46" s="126">
        <f>D46*0.005+E46</f>
        <v>562218.08741699997</v>
      </c>
      <c r="G46" s="126">
        <f>D46*0.005+F46</f>
        <v>565001.34527549997</v>
      </c>
    </row>
    <row r="47" spans="1:7" s="92" customFormat="1" ht="14.4" customHeight="1" x14ac:dyDescent="0.3">
      <c r="A47" s="4"/>
      <c r="B47" s="306" t="s">
        <v>400</v>
      </c>
      <c r="C47" s="128">
        <f>SUM(D47:G47)</f>
        <v>0</v>
      </c>
      <c r="D47" s="213">
        <f>D48*D49</f>
        <v>0</v>
      </c>
      <c r="E47" s="213">
        <f>E48*E49</f>
        <v>0</v>
      </c>
      <c r="F47" s="213">
        <f>F48*F49</f>
        <v>0</v>
      </c>
      <c r="G47" s="213">
        <f>G48*G49</f>
        <v>0</v>
      </c>
    </row>
    <row r="48" spans="1:7" s="92" customFormat="1" ht="14.4" customHeight="1" x14ac:dyDescent="0.3">
      <c r="A48" s="4"/>
      <c r="B48" s="306" t="s">
        <v>401</v>
      </c>
      <c r="C48" s="128"/>
      <c r="D48" s="126">
        <v>1</v>
      </c>
      <c r="E48" s="126">
        <v>1</v>
      </c>
      <c r="F48" s="126">
        <v>1</v>
      </c>
      <c r="G48" s="126">
        <v>1</v>
      </c>
    </row>
    <row r="49" spans="1:13" s="92" customFormat="1" ht="14.4" customHeight="1" x14ac:dyDescent="0.3">
      <c r="A49" s="4"/>
      <c r="B49" s="306" t="s">
        <v>372</v>
      </c>
      <c r="C49" s="128"/>
      <c r="D49" s="126">
        <v>0</v>
      </c>
      <c r="E49" s="126">
        <f>D49*1.01</f>
        <v>0</v>
      </c>
      <c r="F49" s="126">
        <f>E49*1.01</f>
        <v>0</v>
      </c>
      <c r="G49" s="126">
        <f>F49*1.01</f>
        <v>0</v>
      </c>
    </row>
    <row r="50" spans="1:13" ht="36" customHeight="1" x14ac:dyDescent="0.3">
      <c r="A50" s="7">
        <v>14</v>
      </c>
      <c r="B50" s="311" t="s">
        <v>402</v>
      </c>
      <c r="C50" s="128">
        <f t="shared" ref="C50:C57" si="0">SUM(D50:G50)</f>
        <v>177383.674</v>
      </c>
      <c r="D50" s="126">
        <f>'1B-ContPP'!C36*0.01 +'1B-ContPP'!C36</f>
        <v>44015.8</v>
      </c>
      <c r="E50" s="126">
        <f>D50*0.005 + D50</f>
        <v>44235.879000000001</v>
      </c>
      <c r="F50" s="126">
        <f>D50*0.005 + E50</f>
        <v>44455.957999999999</v>
      </c>
      <c r="G50" s="126">
        <f>D50*0.005 + F50</f>
        <v>44676.036999999997</v>
      </c>
      <c r="H50" s="93"/>
      <c r="I50" s="93"/>
      <c r="J50" s="93"/>
      <c r="K50" s="93"/>
      <c r="L50" s="93"/>
      <c r="M50" s="93"/>
    </row>
    <row r="51" spans="1:13" ht="24" customHeight="1" x14ac:dyDescent="0.3">
      <c r="A51" s="7"/>
      <c r="B51" s="311" t="s">
        <v>403</v>
      </c>
      <c r="C51" s="128">
        <f t="shared" si="0"/>
        <v>14615846.787828499</v>
      </c>
      <c r="D51" s="127">
        <f>D39+D45+D46+D50</f>
        <v>3634180.4289499996</v>
      </c>
      <c r="E51" s="127">
        <f>E39+E45+E46+E50</f>
        <v>3647367.9409547504</v>
      </c>
      <c r="F51" s="127">
        <f>F39+F45+F46+F50</f>
        <v>3660555.4529595003</v>
      </c>
      <c r="G51" s="127">
        <f>G39+G45+G46+G50</f>
        <v>3673742.9649642501</v>
      </c>
      <c r="H51" s="93"/>
      <c r="I51" s="93"/>
      <c r="J51" s="93"/>
      <c r="K51" s="93"/>
      <c r="L51" s="93"/>
      <c r="M51" s="93"/>
    </row>
    <row r="52" spans="1:13" ht="24" customHeight="1" x14ac:dyDescent="0.3">
      <c r="A52" s="7"/>
      <c r="B52" s="311" t="s">
        <v>404</v>
      </c>
      <c r="C52" s="128">
        <f t="shared" si="0"/>
        <v>2595300.8582275016</v>
      </c>
      <c r="D52" s="127">
        <f>D18-D51</f>
        <v>605018.49865000043</v>
      </c>
      <c r="E52" s="127">
        <f>E18-E51</f>
        <v>634222.97592124995</v>
      </c>
      <c r="F52" s="127">
        <f>F18-F51</f>
        <v>663427.4531925004</v>
      </c>
      <c r="G52" s="127">
        <f>G18-G51</f>
        <v>692631.93046375085</v>
      </c>
      <c r="H52" s="93"/>
      <c r="I52" s="93"/>
      <c r="J52" s="93"/>
      <c r="K52" s="93"/>
      <c r="L52" s="93"/>
      <c r="M52" s="93"/>
    </row>
    <row r="53" spans="1:13" x14ac:dyDescent="0.3">
      <c r="A53" s="7">
        <v>15</v>
      </c>
      <c r="B53" s="8" t="s">
        <v>405</v>
      </c>
      <c r="C53" s="128">
        <f t="shared" si="0"/>
        <v>1158163.7049775</v>
      </c>
      <c r="D53" s="126">
        <f>D18*0.19/1.19 - (D21+D26+D29+D30+D46)*0.19/1.19</f>
        <v>282493.86865000002</v>
      </c>
      <c r="E53" s="126">
        <f>E18*0.19/1.19 - (E21+E26+E29+E30+E46)*0.19/1.19</f>
        <v>287191.90704625001</v>
      </c>
      <c r="F53" s="126">
        <f>F18*0.19/1.19 - (F21+F26+F29+F30+F46)*0.19/1.19</f>
        <v>291889.9454425</v>
      </c>
      <c r="G53" s="126">
        <f>G18*0.19/1.19 - (G21+G26+G29+G30+G46)*0.19/1.19</f>
        <v>296587.98383875011</v>
      </c>
      <c r="H53" s="93"/>
      <c r="I53" s="93"/>
      <c r="J53" s="93"/>
      <c r="K53" s="93"/>
      <c r="L53" s="93"/>
      <c r="M53" s="93"/>
    </row>
    <row r="54" spans="1:13" x14ac:dyDescent="0.3">
      <c r="A54" s="7">
        <v>16</v>
      </c>
      <c r="B54" s="8" t="s">
        <v>406</v>
      </c>
      <c r="C54" s="128">
        <f t="shared" si="0"/>
        <v>0</v>
      </c>
      <c r="D54" s="126">
        <v>0</v>
      </c>
      <c r="E54" s="126">
        <v>0</v>
      </c>
      <c r="F54" s="126">
        <v>0</v>
      </c>
      <c r="G54" s="126">
        <v>0</v>
      </c>
      <c r="H54" s="93"/>
      <c r="I54" s="93"/>
      <c r="J54" s="93"/>
      <c r="K54" s="93"/>
      <c r="L54" s="93"/>
      <c r="M54" s="93"/>
    </row>
    <row r="55" spans="1:13" x14ac:dyDescent="0.3">
      <c r="A55" s="7">
        <v>17</v>
      </c>
      <c r="B55" s="8" t="s">
        <v>407</v>
      </c>
      <c r="C55" s="128">
        <f t="shared" si="0"/>
        <v>165343.00758456002</v>
      </c>
      <c r="D55" s="126">
        <f>(D18/1.19)*1/100</f>
        <v>35623.520400000001</v>
      </c>
      <c r="E55" s="126">
        <f>E18*1/100</f>
        <v>42815.909168760001</v>
      </c>
      <c r="F55" s="126">
        <f>F18*1/100</f>
        <v>43239.829061520009</v>
      </c>
      <c r="G55" s="126">
        <f>G18*1/100</f>
        <v>43663.74895428001</v>
      </c>
      <c r="H55" s="93"/>
      <c r="I55" s="93"/>
      <c r="J55" s="93"/>
      <c r="K55" s="93"/>
      <c r="L55" s="93"/>
      <c r="M55" s="93"/>
    </row>
    <row r="56" spans="1:13" ht="24" customHeight="1" x14ac:dyDescent="0.3">
      <c r="A56" s="7"/>
      <c r="B56" s="311" t="s">
        <v>408</v>
      </c>
      <c r="C56" s="128">
        <f t="shared" si="0"/>
        <v>1323506.71256206</v>
      </c>
      <c r="D56" s="127">
        <f>D53-D54+D55</f>
        <v>318117.38905</v>
      </c>
      <c r="E56" s="127">
        <f>E53-E54+E55</f>
        <v>330007.81621501001</v>
      </c>
      <c r="F56" s="127">
        <f>F53-F54+F55</f>
        <v>335129.77450402</v>
      </c>
      <c r="G56" s="127">
        <f>G53-G54+G55</f>
        <v>340251.7327930301</v>
      </c>
      <c r="H56" s="93"/>
      <c r="I56" s="93"/>
      <c r="J56" s="93"/>
      <c r="K56" s="93"/>
      <c r="L56" s="93"/>
      <c r="M56" s="93"/>
    </row>
    <row r="57" spans="1:13" s="92" customFormat="1" ht="24" customHeight="1" x14ac:dyDescent="0.3">
      <c r="A57" s="25"/>
      <c r="B57" s="311" t="s">
        <v>409</v>
      </c>
      <c r="C57" s="128">
        <f t="shared" si="0"/>
        <v>1271794.1456654416</v>
      </c>
      <c r="D57" s="128">
        <f>D52-D56</f>
        <v>286901.10960000043</v>
      </c>
      <c r="E57" s="128">
        <f>E52-E56</f>
        <v>304215.15970623994</v>
      </c>
      <c r="F57" s="128">
        <f>F52-F56</f>
        <v>328297.6786884804</v>
      </c>
      <c r="G57" s="128">
        <f>G52-G56</f>
        <v>352380.19767072075</v>
      </c>
    </row>
    <row r="58" spans="1:13" x14ac:dyDescent="0.3">
      <c r="A58" s="11"/>
      <c r="B58" s="306" t="s">
        <v>410</v>
      </c>
      <c r="C58" s="128">
        <f>'1A-Bilant'!D28</f>
        <v>0</v>
      </c>
      <c r="D58" s="127">
        <f>'1A-Bilant'!C28</f>
        <v>32762</v>
      </c>
      <c r="E58" s="127">
        <f>D59</f>
        <v>319663.10960000043</v>
      </c>
      <c r="F58" s="127">
        <f>E59</f>
        <v>623878.26930624037</v>
      </c>
      <c r="G58" s="127">
        <f>F59</f>
        <v>952175.94799472077</v>
      </c>
      <c r="H58" s="93"/>
      <c r="I58" s="93"/>
      <c r="J58" s="93"/>
      <c r="K58" s="93"/>
      <c r="L58" s="93"/>
      <c r="M58" s="93"/>
    </row>
    <row r="59" spans="1:13" x14ac:dyDescent="0.3">
      <c r="A59" s="9"/>
      <c r="B59" s="306" t="s">
        <v>411</v>
      </c>
      <c r="C59" s="128"/>
      <c r="D59" s="127">
        <f>D58+D57</f>
        <v>319663.10960000043</v>
      </c>
      <c r="E59" s="127">
        <f>E58+E57</f>
        <v>623878.26930624037</v>
      </c>
      <c r="F59" s="127">
        <f>F58+F57</f>
        <v>952175.94799472077</v>
      </c>
      <c r="G59" s="127">
        <f>G58+G57</f>
        <v>1304556.1456654416</v>
      </c>
      <c r="H59" s="93"/>
      <c r="I59" s="93"/>
      <c r="J59" s="93"/>
      <c r="K59" s="93"/>
      <c r="L59" s="93"/>
      <c r="M59" s="93"/>
    </row>
    <row r="60" spans="1:13" s="90" customFormat="1" ht="14.4" customHeight="1" x14ac:dyDescent="0.3">
      <c r="A60" s="379" t="s">
        <v>412</v>
      </c>
      <c r="B60" s="326"/>
      <c r="C60" s="326"/>
      <c r="D60" s="326"/>
      <c r="E60" s="326"/>
      <c r="F60" s="326"/>
      <c r="G60" s="326"/>
    </row>
    <row r="61" spans="1:13" s="90" customFormat="1" ht="14.4" customHeight="1" x14ac:dyDescent="0.3">
      <c r="A61" s="374" t="s">
        <v>359</v>
      </c>
      <c r="B61" s="373"/>
      <c r="C61" s="375" t="s">
        <v>286</v>
      </c>
      <c r="D61" s="376" t="s">
        <v>360</v>
      </c>
      <c r="E61" s="326"/>
      <c r="F61" s="326"/>
      <c r="G61" s="337"/>
    </row>
    <row r="62" spans="1:13" s="90" customFormat="1" ht="27" customHeight="1" x14ac:dyDescent="0.3">
      <c r="A62" s="348"/>
      <c r="B62" s="348"/>
      <c r="C62" s="348"/>
      <c r="D62" s="266" t="s">
        <v>361</v>
      </c>
      <c r="E62" s="305" t="s">
        <v>362</v>
      </c>
      <c r="F62" s="305" t="s">
        <v>363</v>
      </c>
      <c r="G62" s="305" t="s">
        <v>364</v>
      </c>
    </row>
    <row r="63" spans="1:13" s="90" customFormat="1" ht="14.4" customHeight="1" x14ac:dyDescent="0.3">
      <c r="A63" s="367" t="s">
        <v>413</v>
      </c>
      <c r="B63" s="326"/>
      <c r="C63" s="326"/>
      <c r="D63" s="326"/>
      <c r="E63" s="326"/>
      <c r="F63" s="326"/>
      <c r="G63" s="337"/>
    </row>
    <row r="64" spans="1:13" s="90" customFormat="1" ht="14.4" customHeight="1" x14ac:dyDescent="0.3">
      <c r="A64" s="366" t="s">
        <v>366</v>
      </c>
      <c r="B64" s="326"/>
      <c r="C64" s="326"/>
      <c r="D64" s="326"/>
      <c r="E64" s="326"/>
      <c r="F64" s="326"/>
      <c r="G64" s="337"/>
    </row>
    <row r="65" spans="1:9" s="90" customFormat="1" ht="14.4" customHeight="1" x14ac:dyDescent="0.3">
      <c r="A65" s="4">
        <v>1</v>
      </c>
      <c r="B65" s="306" t="s">
        <v>367</v>
      </c>
      <c r="C65" s="128">
        <f>SUM(D65:G65)</f>
        <v>0</v>
      </c>
      <c r="D65" s="127">
        <f>D66*D67</f>
        <v>0</v>
      </c>
      <c r="E65" s="127">
        <f>E66*E67</f>
        <v>0</v>
      </c>
      <c r="F65" s="127">
        <f>F66*F67</f>
        <v>0</v>
      </c>
      <c r="G65" s="127">
        <f>G66*G67</f>
        <v>0</v>
      </c>
    </row>
    <row r="66" spans="1:9" s="91" customFormat="1" ht="14.4" customHeight="1" x14ac:dyDescent="0.3">
      <c r="A66" s="5"/>
      <c r="B66" s="306" t="s">
        <v>368</v>
      </c>
      <c r="C66" s="128"/>
      <c r="D66" s="126">
        <v>0</v>
      </c>
      <c r="E66" s="126">
        <v>0</v>
      </c>
      <c r="F66" s="126">
        <v>0</v>
      </c>
      <c r="G66" s="126">
        <v>0</v>
      </c>
    </row>
    <row r="67" spans="1:9" s="91" customFormat="1" ht="14.4" customHeight="1" x14ac:dyDescent="0.3">
      <c r="A67" s="5"/>
      <c r="B67" s="306" t="s">
        <v>369</v>
      </c>
      <c r="C67" s="128"/>
      <c r="D67" s="126">
        <v>0</v>
      </c>
      <c r="E67" s="126">
        <v>0</v>
      </c>
      <c r="F67" s="126">
        <v>0</v>
      </c>
      <c r="G67" s="126">
        <v>0</v>
      </c>
      <c r="I67" s="236"/>
    </row>
    <row r="68" spans="1:9" s="90" customFormat="1" ht="14.4" customHeight="1" x14ac:dyDescent="0.3">
      <c r="A68" s="4">
        <v>2</v>
      </c>
      <c r="B68" s="306" t="s">
        <v>370</v>
      </c>
      <c r="C68" s="128">
        <f>SUM(D68:G68)</f>
        <v>0</v>
      </c>
      <c r="D68" s="127">
        <f>D69*D70</f>
        <v>0</v>
      </c>
      <c r="E68" s="127">
        <f>E69*E70</f>
        <v>0</v>
      </c>
      <c r="F68" s="127">
        <f>F69*F70</f>
        <v>0</v>
      </c>
      <c r="G68" s="127">
        <f>G69*G70</f>
        <v>0</v>
      </c>
    </row>
    <row r="69" spans="1:9" s="91" customFormat="1" ht="14.4" customHeight="1" x14ac:dyDescent="0.3">
      <c r="A69" s="5"/>
      <c r="B69" s="306" t="s">
        <v>371</v>
      </c>
      <c r="C69" s="128"/>
      <c r="D69" s="126">
        <v>1</v>
      </c>
      <c r="E69" s="126">
        <v>1</v>
      </c>
      <c r="F69" s="126">
        <v>1</v>
      </c>
      <c r="G69" s="126">
        <v>1</v>
      </c>
    </row>
    <row r="70" spans="1:9" s="91" customFormat="1" ht="14.4" customHeight="1" x14ac:dyDescent="0.3">
      <c r="A70" s="5"/>
      <c r="B70" s="306" t="s">
        <v>372</v>
      </c>
      <c r="C70" s="128"/>
      <c r="D70" s="126">
        <v>0</v>
      </c>
      <c r="E70" s="126">
        <v>0</v>
      </c>
      <c r="F70" s="126">
        <f>E70*1.02</f>
        <v>0</v>
      </c>
      <c r="G70" s="126">
        <f>F70*1.03</f>
        <v>0</v>
      </c>
    </row>
    <row r="71" spans="1:9" s="90" customFormat="1" ht="14.4" customHeight="1" x14ac:dyDescent="0.3">
      <c r="A71" s="4">
        <v>3</v>
      </c>
      <c r="B71" s="306" t="s">
        <v>373</v>
      </c>
      <c r="C71" s="128">
        <f>SUM(D71:G71)</f>
        <v>17707133.9205852</v>
      </c>
      <c r="D71" s="127">
        <f>D72*D73</f>
        <v>4239198.9276000001</v>
      </c>
      <c r="E71" s="127">
        <f>E72*E73</f>
        <v>4370614.0943556</v>
      </c>
      <c r="F71" s="127">
        <f>F72*F73</f>
        <v>4506268.4600387998</v>
      </c>
      <c r="G71" s="127">
        <f>G72*G73</f>
        <v>4591052.4385907995</v>
      </c>
    </row>
    <row r="72" spans="1:9" s="91" customFormat="1" ht="14.4" customHeight="1" x14ac:dyDescent="0.3">
      <c r="A72" s="5"/>
      <c r="B72" s="306" t="s">
        <v>374</v>
      </c>
      <c r="C72" s="128"/>
      <c r="D72" s="126">
        <v>1</v>
      </c>
      <c r="E72" s="126">
        <v>1</v>
      </c>
      <c r="F72" s="126">
        <v>1</v>
      </c>
      <c r="G72" s="126">
        <v>1</v>
      </c>
    </row>
    <row r="73" spans="1:9" s="91" customFormat="1" ht="14.4" customHeight="1" x14ac:dyDescent="0.3">
      <c r="A73" s="5"/>
      <c r="B73" s="306" t="s">
        <v>375</v>
      </c>
      <c r="C73" s="128"/>
      <c r="D73" s="126">
        <f>D17</f>
        <v>4239198.9276000001</v>
      </c>
      <c r="E73" s="126">
        <f>D73*0.031+ D73</f>
        <v>4370614.0943556</v>
      </c>
      <c r="F73" s="126">
        <f>D73*0.032 + E73</f>
        <v>4506268.4600387998</v>
      </c>
      <c r="G73" s="126">
        <f>D73*0.02 + F73</f>
        <v>4591052.4385907995</v>
      </c>
    </row>
    <row r="74" spans="1:9" s="92" customFormat="1" ht="24" customHeight="1" x14ac:dyDescent="0.3">
      <c r="A74" s="147"/>
      <c r="B74" s="311" t="s">
        <v>414</v>
      </c>
      <c r="C74" s="128">
        <f>SUM(D74:G74)</f>
        <v>17707133.9205852</v>
      </c>
      <c r="D74" s="128">
        <f>D65+D68+D71</f>
        <v>4239198.9276000001</v>
      </c>
      <c r="E74" s="128">
        <f>E65+E68+E71</f>
        <v>4370614.0943556</v>
      </c>
      <c r="F74" s="128">
        <f>F65+F68+F71</f>
        <v>4506268.4600387998</v>
      </c>
      <c r="G74" s="128">
        <f>G65+G68+G71</f>
        <v>4591052.4385907995</v>
      </c>
    </row>
    <row r="75" spans="1:9" s="92" customFormat="1" ht="14.4" customHeight="1" x14ac:dyDescent="0.3">
      <c r="A75" s="367" t="s">
        <v>415</v>
      </c>
      <c r="B75" s="326"/>
      <c r="C75" s="326"/>
      <c r="D75" s="326"/>
      <c r="E75" s="326"/>
      <c r="F75" s="326"/>
      <c r="G75" s="337"/>
    </row>
    <row r="76" spans="1:9" s="92" customFormat="1" ht="14.4" customHeight="1" x14ac:dyDescent="0.3">
      <c r="A76" s="366" t="s">
        <v>378</v>
      </c>
      <c r="B76" s="326"/>
      <c r="C76" s="326"/>
      <c r="D76" s="326"/>
      <c r="E76" s="326"/>
      <c r="F76" s="326"/>
      <c r="G76" s="337"/>
    </row>
    <row r="77" spans="1:9" s="90" customFormat="1" ht="24" customHeight="1" x14ac:dyDescent="0.3">
      <c r="A77" s="4">
        <v>5</v>
      </c>
      <c r="B77" s="6" t="s">
        <v>379</v>
      </c>
      <c r="C77" s="128">
        <f>SUM(D77:G77)</f>
        <v>892985.58030919998</v>
      </c>
      <c r="D77" s="127">
        <f>SUM(D78*D79)+SUM(D80*D81)</f>
        <v>222578.65909999999</v>
      </c>
      <c r="E77" s="127">
        <f>SUM(E78*E79)+SUM(E80*E81)</f>
        <v>223023.8164182</v>
      </c>
      <c r="F77" s="127">
        <f>SUM(F78*F79)+SUM(F80*F81)</f>
        <v>223468.97373640002</v>
      </c>
      <c r="G77" s="127">
        <f>SUM(G78*G79)+SUM(G80*G81)</f>
        <v>223914.13105460003</v>
      </c>
    </row>
    <row r="78" spans="1:9" s="92" customFormat="1" ht="14.4" customHeight="1" x14ac:dyDescent="0.3">
      <c r="A78" s="4"/>
      <c r="B78" s="306" t="s">
        <v>380</v>
      </c>
      <c r="C78" s="128"/>
      <c r="D78" s="126">
        <v>1</v>
      </c>
      <c r="E78" s="126">
        <v>1</v>
      </c>
      <c r="F78" s="126">
        <v>1</v>
      </c>
      <c r="G78" s="126">
        <v>1</v>
      </c>
    </row>
    <row r="79" spans="1:9" s="92" customFormat="1" ht="14.4" customHeight="1" x14ac:dyDescent="0.3">
      <c r="A79" s="4"/>
      <c r="B79" s="306" t="s">
        <v>381</v>
      </c>
      <c r="C79" s="128"/>
      <c r="D79" s="126">
        <f>D23</f>
        <v>222578.65909999999</v>
      </c>
      <c r="E79" s="126">
        <f>D79*0.002 + D79</f>
        <v>223023.8164182</v>
      </c>
      <c r="F79" s="126">
        <f>D79*0.002 +E79</f>
        <v>223468.97373640002</v>
      </c>
      <c r="G79" s="126">
        <f>D79*0.002 +F79</f>
        <v>223914.13105460003</v>
      </c>
    </row>
    <row r="80" spans="1:9" s="92" customFormat="1" ht="14.4" customHeight="1" x14ac:dyDescent="0.3">
      <c r="A80" s="4"/>
      <c r="B80" s="306" t="s">
        <v>382</v>
      </c>
      <c r="C80" s="128"/>
      <c r="D80" s="126">
        <v>1</v>
      </c>
      <c r="E80" s="126">
        <v>1</v>
      </c>
      <c r="F80" s="126">
        <v>1</v>
      </c>
      <c r="G80" s="126">
        <v>1</v>
      </c>
    </row>
    <row r="81" spans="1:7" s="92" customFormat="1" ht="14.4" customHeight="1" x14ac:dyDescent="0.3">
      <c r="A81" s="4"/>
      <c r="B81" s="306" t="s">
        <v>383</v>
      </c>
      <c r="C81" s="128"/>
      <c r="D81" s="126">
        <f>'1B-ContPP'!D14*1.19*1.1</f>
        <v>0</v>
      </c>
      <c r="E81" s="126">
        <f>D81*1.05</f>
        <v>0</v>
      </c>
      <c r="F81" s="126">
        <f>E81*1.05</f>
        <v>0</v>
      </c>
      <c r="G81" s="126">
        <f>F81*1.05</f>
        <v>0</v>
      </c>
    </row>
    <row r="82" spans="1:7" s="90" customFormat="1" ht="14.4" customHeight="1" x14ac:dyDescent="0.3">
      <c r="A82" s="4">
        <v>6</v>
      </c>
      <c r="B82" s="6" t="s">
        <v>384</v>
      </c>
      <c r="C82" s="128">
        <f>SUM(D82:G82)</f>
        <v>6315306.6730845002</v>
      </c>
      <c r="D82" s="127">
        <f>D83*D84</f>
        <v>1567073.6161499999</v>
      </c>
      <c r="E82" s="127">
        <f>E83*E84</f>
        <v>1574908.98423075</v>
      </c>
      <c r="F82" s="127">
        <f>F83*F84</f>
        <v>1582744.3523115001</v>
      </c>
      <c r="G82" s="127">
        <f>G83*G84</f>
        <v>1590579.7203922502</v>
      </c>
    </row>
    <row r="83" spans="1:7" s="92" customFormat="1" ht="14.4" customHeight="1" x14ac:dyDescent="0.3">
      <c r="A83" s="4"/>
      <c r="B83" s="306" t="s">
        <v>374</v>
      </c>
      <c r="C83" s="128"/>
      <c r="D83" s="126">
        <v>1</v>
      </c>
      <c r="E83" s="126">
        <v>1</v>
      </c>
      <c r="F83" s="126">
        <v>1</v>
      </c>
      <c r="G83" s="126">
        <v>1</v>
      </c>
    </row>
    <row r="84" spans="1:7" s="92" customFormat="1" ht="14.4" customHeight="1" x14ac:dyDescent="0.3">
      <c r="A84" s="4"/>
      <c r="B84" s="306" t="s">
        <v>385</v>
      </c>
      <c r="C84" s="128"/>
      <c r="D84" s="126">
        <f>D28</f>
        <v>1567073.6161499999</v>
      </c>
      <c r="E84" s="126">
        <f>D84*0.005 + D84</f>
        <v>1574908.98423075</v>
      </c>
      <c r="F84" s="126">
        <f>D84*0.005+E84</f>
        <v>1582744.3523115001</v>
      </c>
      <c r="G84" s="126">
        <f>D84*0.005+F84</f>
        <v>1590579.7203922502</v>
      </c>
    </row>
    <row r="85" spans="1:7" s="92" customFormat="1" ht="24" customHeight="1" x14ac:dyDescent="0.3">
      <c r="A85" s="4">
        <v>7</v>
      </c>
      <c r="B85" s="306" t="s">
        <v>386</v>
      </c>
      <c r="C85" s="128">
        <f>SUM(D85:G85)</f>
        <v>0</v>
      </c>
      <c r="D85" s="126">
        <f>D29</f>
        <v>0</v>
      </c>
      <c r="E85" s="126">
        <f>D85*0.002 + D85</f>
        <v>0</v>
      </c>
      <c r="F85" s="126">
        <f>D85*0.002 + E85</f>
        <v>0</v>
      </c>
      <c r="G85" s="126">
        <f>D85*0.002 +F85</f>
        <v>0</v>
      </c>
    </row>
    <row r="86" spans="1:7" s="92" customFormat="1" ht="14.4" customHeight="1" x14ac:dyDescent="0.3">
      <c r="A86" s="4">
        <v>8</v>
      </c>
      <c r="B86" s="306" t="s">
        <v>387</v>
      </c>
      <c r="C86" s="128">
        <f>SUM(D86:G86)</f>
        <v>495848.60452399997</v>
      </c>
      <c r="D86" s="127">
        <f>D87*D88</f>
        <v>123591.37699999999</v>
      </c>
      <c r="E86" s="127">
        <f>E87*E88</f>
        <v>123838.55975399999</v>
      </c>
      <c r="F86" s="127">
        <f>F87*F88</f>
        <v>124085.74250799998</v>
      </c>
      <c r="G86" s="127">
        <f>G87*G88</f>
        <v>124332.92526199998</v>
      </c>
    </row>
    <row r="87" spans="1:7" s="92" customFormat="1" ht="24" customHeight="1" x14ac:dyDescent="0.3">
      <c r="A87" s="4"/>
      <c r="B87" s="306" t="s">
        <v>388</v>
      </c>
      <c r="C87" s="128"/>
      <c r="D87" s="126">
        <v>1</v>
      </c>
      <c r="E87" s="126">
        <v>1</v>
      </c>
      <c r="F87" s="126">
        <v>1</v>
      </c>
      <c r="G87" s="126">
        <v>1</v>
      </c>
    </row>
    <row r="88" spans="1:7" s="92" customFormat="1" ht="14.4" customHeight="1" x14ac:dyDescent="0.3">
      <c r="A88" s="4"/>
      <c r="B88" s="306" t="s">
        <v>389</v>
      </c>
      <c r="C88" s="128"/>
      <c r="D88" s="126">
        <f>D32</f>
        <v>123591.37699999999</v>
      </c>
      <c r="E88" s="126">
        <f>D88*0.002 +D88</f>
        <v>123838.55975399999</v>
      </c>
      <c r="F88" s="126">
        <f>D88*0.002 + E88</f>
        <v>124085.74250799998</v>
      </c>
      <c r="G88" s="126">
        <f>D88*0.002 +F88</f>
        <v>124332.92526199998</v>
      </c>
    </row>
    <row r="89" spans="1:7" s="92" customFormat="1" ht="14.4" customHeight="1" x14ac:dyDescent="0.3">
      <c r="A89" s="4">
        <v>9</v>
      </c>
      <c r="B89" s="306" t="s">
        <v>390</v>
      </c>
      <c r="C89" s="128">
        <f>SUM(D89:G89)</f>
        <v>0</v>
      </c>
      <c r="D89" s="127">
        <f>D90*D91</f>
        <v>0</v>
      </c>
      <c r="E89" s="127">
        <f>E90*E91</f>
        <v>0</v>
      </c>
      <c r="F89" s="127">
        <f>F90*F91</f>
        <v>0</v>
      </c>
      <c r="G89" s="127">
        <f>G90*G91</f>
        <v>0</v>
      </c>
    </row>
    <row r="90" spans="1:7" s="92" customFormat="1" ht="24" customHeight="1" x14ac:dyDescent="0.3">
      <c r="A90" s="4"/>
      <c r="B90" s="306" t="s">
        <v>388</v>
      </c>
      <c r="C90" s="128"/>
      <c r="D90" s="126">
        <v>0</v>
      </c>
      <c r="E90" s="126">
        <v>0</v>
      </c>
      <c r="F90" s="126">
        <v>0</v>
      </c>
      <c r="G90" s="126">
        <v>0</v>
      </c>
    </row>
    <row r="91" spans="1:7" s="92" customFormat="1" ht="14.4" customHeight="1" x14ac:dyDescent="0.3">
      <c r="A91" s="4"/>
      <c r="B91" s="306" t="s">
        <v>389</v>
      </c>
      <c r="C91" s="128"/>
      <c r="D91" s="126">
        <v>0</v>
      </c>
      <c r="E91" s="126">
        <v>0</v>
      </c>
      <c r="F91" s="126">
        <v>0</v>
      </c>
      <c r="G91" s="126">
        <v>0</v>
      </c>
    </row>
    <row r="92" spans="1:7" s="92" customFormat="1" ht="14.4" customHeight="1" x14ac:dyDescent="0.3">
      <c r="A92" s="4">
        <v>10</v>
      </c>
      <c r="B92" s="306" t="s">
        <v>391</v>
      </c>
      <c r="C92" s="128">
        <f>SUM(D92:G92)</f>
        <v>0</v>
      </c>
      <c r="D92" s="127">
        <f>D93*D94</f>
        <v>0</v>
      </c>
      <c r="E92" s="127">
        <f>E93*E94</f>
        <v>0</v>
      </c>
      <c r="F92" s="127">
        <f>F93*F94</f>
        <v>0</v>
      </c>
      <c r="G92" s="127">
        <f>G93*G94</f>
        <v>0</v>
      </c>
    </row>
    <row r="93" spans="1:7" s="92" customFormat="1" ht="24" customHeight="1" x14ac:dyDescent="0.3">
      <c r="A93" s="4"/>
      <c r="B93" s="306" t="s">
        <v>388</v>
      </c>
      <c r="C93" s="128"/>
      <c r="D93" s="126">
        <v>0</v>
      </c>
      <c r="E93" s="126">
        <v>0</v>
      </c>
      <c r="F93" s="126">
        <v>0</v>
      </c>
      <c r="G93" s="126">
        <v>0</v>
      </c>
    </row>
    <row r="94" spans="1:7" s="92" customFormat="1" ht="14.4" customHeight="1" x14ac:dyDescent="0.3">
      <c r="A94" s="4"/>
      <c r="B94" s="306" t="s">
        <v>389</v>
      </c>
      <c r="C94" s="128"/>
      <c r="D94" s="126">
        <v>0</v>
      </c>
      <c r="E94" s="126">
        <v>0</v>
      </c>
      <c r="F94" s="126">
        <v>0</v>
      </c>
      <c r="G94" s="126">
        <v>0</v>
      </c>
    </row>
    <row r="95" spans="1:7" s="90" customFormat="1" ht="14.4" customHeight="1" x14ac:dyDescent="0.3">
      <c r="A95" s="4"/>
      <c r="B95" s="311" t="s">
        <v>392</v>
      </c>
      <c r="C95" s="128">
        <f>SUM(D95:G95)</f>
        <v>7704140.8579177</v>
      </c>
      <c r="D95" s="128">
        <f>D77+D82+D85+D86+D89+D92</f>
        <v>1913243.65225</v>
      </c>
      <c r="E95" s="128">
        <f>E77+E82+E85+E86+E89+E92</f>
        <v>1921771.3604029501</v>
      </c>
      <c r="F95" s="128">
        <f>F77+F82+F85+F86+F89+F92</f>
        <v>1930299.0685559001</v>
      </c>
      <c r="G95" s="128">
        <f>G77+G82+G85+G86+G89+G92</f>
        <v>1938826.7767088502</v>
      </c>
    </row>
    <row r="96" spans="1:7" s="90" customFormat="1" ht="14.4" customHeight="1" x14ac:dyDescent="0.3">
      <c r="A96" s="4">
        <v>11</v>
      </c>
      <c r="B96" s="306" t="s">
        <v>393</v>
      </c>
      <c r="C96" s="128">
        <f>SUM(D96:G96)</f>
        <v>4448209.0799999991</v>
      </c>
      <c r="D96" s="128">
        <f>SUM(D97*D98)*D99</f>
        <v>1095618</v>
      </c>
      <c r="E96" s="128">
        <f>SUM(E97*E98)*E99</f>
        <v>1106574.18</v>
      </c>
      <c r="F96" s="128">
        <f>SUM(F97*F98)*F99</f>
        <v>1117530.3599999999</v>
      </c>
      <c r="G96" s="128">
        <f>SUM(G97*G98)*G99</f>
        <v>1128486.5399999998</v>
      </c>
    </row>
    <row r="97" spans="1:7" s="90" customFormat="1" ht="14.4" customHeight="1" x14ac:dyDescent="0.3">
      <c r="A97" s="4"/>
      <c r="B97" s="306" t="s">
        <v>394</v>
      </c>
      <c r="C97" s="128"/>
      <c r="D97" s="126">
        <v>1</v>
      </c>
      <c r="E97" s="126">
        <v>1</v>
      </c>
      <c r="F97" s="126">
        <v>1</v>
      </c>
      <c r="G97" s="126">
        <v>1</v>
      </c>
    </row>
    <row r="98" spans="1:7" s="90" customFormat="1" ht="14.4" customHeight="1" x14ac:dyDescent="0.3">
      <c r="A98" s="4"/>
      <c r="B98" s="306" t="s">
        <v>395</v>
      </c>
      <c r="C98" s="128"/>
      <c r="D98" s="126">
        <f>'1B-ContPP'!C19</f>
        <v>1095618</v>
      </c>
      <c r="E98" s="126">
        <f>D98*0.01 + D98</f>
        <v>1106574.18</v>
      </c>
      <c r="F98" s="126">
        <f>D98*0.01 + E98</f>
        <v>1117530.3599999999</v>
      </c>
      <c r="G98" s="126">
        <f>D98*0.01 + F98</f>
        <v>1128486.5399999998</v>
      </c>
    </row>
    <row r="99" spans="1:7" s="90" customFormat="1" ht="14.4" customHeight="1" x14ac:dyDescent="0.3">
      <c r="A99" s="4"/>
      <c r="B99" s="306" t="s">
        <v>396</v>
      </c>
      <c r="C99" s="128"/>
      <c r="D99" s="126">
        <v>1</v>
      </c>
      <c r="E99" s="126">
        <v>1</v>
      </c>
      <c r="F99" s="126">
        <v>1</v>
      </c>
      <c r="G99" s="126">
        <v>1</v>
      </c>
    </row>
    <row r="100" spans="1:7" s="90" customFormat="1" ht="14.4" customHeight="1" x14ac:dyDescent="0.3">
      <c r="A100" s="7">
        <v>12</v>
      </c>
      <c r="B100" s="6" t="s">
        <v>397</v>
      </c>
      <c r="C100" s="128"/>
      <c r="D100" s="126">
        <f>D96*2.25%</f>
        <v>24651.404999999999</v>
      </c>
      <c r="E100" s="126">
        <f>E96*2.25%</f>
        <v>24897.919049999997</v>
      </c>
      <c r="F100" s="126">
        <f>F96*2.25%</f>
        <v>25144.433099999995</v>
      </c>
      <c r="G100" s="126">
        <f>G96*2.25%</f>
        <v>25390.947149999996</v>
      </c>
    </row>
    <row r="101" spans="1:7" s="92" customFormat="1" ht="14.4" customHeight="1" x14ac:dyDescent="0.3">
      <c r="A101" s="4"/>
      <c r="B101" s="311" t="s">
        <v>398</v>
      </c>
      <c r="C101" s="128">
        <f>SUM(D101:G101)</f>
        <v>4548293.7842999995</v>
      </c>
      <c r="D101" s="213">
        <f>D100+D96</f>
        <v>1120269.405</v>
      </c>
      <c r="E101" s="213">
        <f>E100+E96</f>
        <v>1131472.0990499998</v>
      </c>
      <c r="F101" s="213">
        <f>F100+F96</f>
        <v>1142674.7930999999</v>
      </c>
      <c r="G101" s="213">
        <f>G100+G96</f>
        <v>1153877.4871499997</v>
      </c>
    </row>
    <row r="102" spans="1:7" s="92" customFormat="1" ht="36" customHeight="1" x14ac:dyDescent="0.3">
      <c r="A102" s="4">
        <v>13</v>
      </c>
      <c r="B102" s="6" t="s">
        <v>399</v>
      </c>
      <c r="C102" s="128">
        <f>SUM(D102:G102)</f>
        <v>2233286.1056603999</v>
      </c>
      <c r="D102" s="172">
        <f>D46</f>
        <v>556651.57169999997</v>
      </c>
      <c r="E102" s="172">
        <f>D102*0.002 + D102</f>
        <v>557764.87484339997</v>
      </c>
      <c r="F102" s="172">
        <f>D102*0.002 + E102</f>
        <v>558878.17798679997</v>
      </c>
      <c r="G102" s="172">
        <f>D102*0.002 +F102</f>
        <v>559991.48113019997</v>
      </c>
    </row>
    <row r="103" spans="1:7" s="92" customFormat="1" ht="24" customHeight="1" x14ac:dyDescent="0.3">
      <c r="A103" s="4"/>
      <c r="B103" s="306" t="s">
        <v>416</v>
      </c>
      <c r="C103" s="128">
        <f>SUM(D103:G103)</f>
        <v>0</v>
      </c>
      <c r="D103" s="213">
        <f>D104*D105</f>
        <v>0</v>
      </c>
      <c r="E103" s="213">
        <f>E104*E105</f>
        <v>0</v>
      </c>
      <c r="F103" s="213">
        <f>F104*F105</f>
        <v>0</v>
      </c>
      <c r="G103" s="213">
        <f>G104*G105</f>
        <v>0</v>
      </c>
    </row>
    <row r="104" spans="1:7" s="92" customFormat="1" ht="14.4" customHeight="1" x14ac:dyDescent="0.3">
      <c r="A104" s="4"/>
      <c r="B104" s="306" t="s">
        <v>401</v>
      </c>
      <c r="C104" s="128"/>
      <c r="D104" s="172">
        <v>1</v>
      </c>
      <c r="E104" s="172">
        <v>1</v>
      </c>
      <c r="F104" s="172">
        <v>1</v>
      </c>
      <c r="G104" s="172">
        <v>1</v>
      </c>
    </row>
    <row r="105" spans="1:7" s="92" customFormat="1" ht="14.4" customHeight="1" x14ac:dyDescent="0.3">
      <c r="A105" s="4"/>
      <c r="B105" s="306" t="s">
        <v>372</v>
      </c>
      <c r="C105" s="128"/>
      <c r="D105" s="172">
        <v>0</v>
      </c>
      <c r="E105" s="172">
        <f>D105*0.02 + D105</f>
        <v>0</v>
      </c>
      <c r="F105" s="172">
        <f>D105*0.03 + E105</f>
        <v>0</v>
      </c>
      <c r="G105" s="172">
        <f>D105*0.04 + F105</f>
        <v>0</v>
      </c>
    </row>
    <row r="106" spans="1:7" s="93" customFormat="1" ht="36" customHeight="1" x14ac:dyDescent="0.3">
      <c r="A106" s="7">
        <v>14</v>
      </c>
      <c r="B106" s="311" t="s">
        <v>402</v>
      </c>
      <c r="C106" s="128">
        <f t="shared" ref="C106:C113" si="1">SUM(D106:G106)</f>
        <v>178704.14800000002</v>
      </c>
      <c r="D106" s="172">
        <f>D50</f>
        <v>44015.8</v>
      </c>
      <c r="E106" s="172">
        <f>D106*0.01 + D106</f>
        <v>44455.958000000006</v>
      </c>
      <c r="F106" s="172">
        <f>D106*0.01 +E106</f>
        <v>44896.116000000009</v>
      </c>
      <c r="G106" s="172">
        <f>D106*0.01 +F106</f>
        <v>45336.274000000012</v>
      </c>
    </row>
    <row r="107" spans="1:7" s="93" customFormat="1" ht="24" customHeight="1" x14ac:dyDescent="0.3">
      <c r="A107" s="7"/>
      <c r="B107" s="311" t="s">
        <v>417</v>
      </c>
      <c r="C107" s="128">
        <f t="shared" si="1"/>
        <v>14664424.895878101</v>
      </c>
      <c r="D107" s="127">
        <f>D95+D101+D102+D106</f>
        <v>3634180.4289499996</v>
      </c>
      <c r="E107" s="127">
        <f>E95+E101+E102+E106</f>
        <v>3655464.29229635</v>
      </c>
      <c r="F107" s="127">
        <f>F95+F101+F102+F106</f>
        <v>3676748.1556426999</v>
      </c>
      <c r="G107" s="127">
        <f>G95+G101+G102+G106</f>
        <v>3698032.0189890503</v>
      </c>
    </row>
    <row r="108" spans="1:7" s="93" customFormat="1" ht="24" customHeight="1" x14ac:dyDescent="0.3">
      <c r="A108" s="7"/>
      <c r="B108" s="311" t="s">
        <v>418</v>
      </c>
      <c r="C108" s="128">
        <f t="shared" si="1"/>
        <v>3042709.0247070994</v>
      </c>
      <c r="D108" s="127">
        <f>D74-D107</f>
        <v>605018.49865000043</v>
      </c>
      <c r="E108" s="127">
        <f>E74-E107</f>
        <v>715149.80205924995</v>
      </c>
      <c r="F108" s="127">
        <f>F74-F107</f>
        <v>829520.30439609988</v>
      </c>
      <c r="G108" s="127">
        <f>G74-G107</f>
        <v>893020.41960174916</v>
      </c>
    </row>
    <row r="109" spans="1:7" s="93" customFormat="1" x14ac:dyDescent="0.3">
      <c r="A109" s="7">
        <v>15</v>
      </c>
      <c r="B109" s="8" t="s">
        <v>405</v>
      </c>
      <c r="C109" s="128">
        <f t="shared" si="1"/>
        <v>1240541.4469170999</v>
      </c>
      <c r="D109" s="126">
        <f>D74*0.19/1.19 -(D79+D81+D84+D85+D88+D91+D94+D102)*0.19/1.19</f>
        <v>282493.86865000002</v>
      </c>
      <c r="E109" s="126">
        <f>E74*0.19/1.19 -(E79+E81+E84+E85+E88+E91+E94+E102)*0.19/1.19</f>
        <v>301936.80103425001</v>
      </c>
      <c r="F109" s="126">
        <f>F74*0.19/1.19 -(F79+F81+F84+F85+F88+F91+F94+F102)*0.19/1.19</f>
        <v>322056.58030609996</v>
      </c>
      <c r="G109" s="126">
        <f>G74*0.19/1.19 -(G79+G81+G84+F85+G88+G91+G94+G102)*0.19/1.19</f>
        <v>334054.19692674995</v>
      </c>
    </row>
    <row r="110" spans="1:7" s="93" customFormat="1" x14ac:dyDescent="0.3">
      <c r="A110" s="7">
        <v>16</v>
      </c>
      <c r="B110" s="8" t="s">
        <v>406</v>
      </c>
      <c r="C110" s="128">
        <f t="shared" si="1"/>
        <v>0</v>
      </c>
      <c r="D110" s="126"/>
      <c r="E110" s="126">
        <v>0</v>
      </c>
      <c r="F110" s="126">
        <v>0</v>
      </c>
      <c r="G110" s="126">
        <v>0</v>
      </c>
    </row>
    <row r="111" spans="1:7" s="93" customFormat="1" x14ac:dyDescent="0.3">
      <c r="A111" s="7">
        <v>17</v>
      </c>
      <c r="B111" s="8" t="s">
        <v>407</v>
      </c>
      <c r="C111" s="128">
        <f t="shared" si="1"/>
        <v>148799.44471080002</v>
      </c>
      <c r="D111" s="126">
        <f>(D74/1.19) *(1/100)</f>
        <v>35623.520400000001</v>
      </c>
      <c r="E111" s="126">
        <f>(E74/1.19)*(1/100)</f>
        <v>36727.849532400003</v>
      </c>
      <c r="F111" s="126">
        <f>(F74/1.19)*(1/100)</f>
        <v>37867.802185200002</v>
      </c>
      <c r="G111" s="126">
        <f>(G74/1.19)*(1/100)</f>
        <v>38580.272593199996</v>
      </c>
    </row>
    <row r="112" spans="1:7" s="93" customFormat="1" ht="24" customHeight="1" x14ac:dyDescent="0.3">
      <c r="A112" s="7"/>
      <c r="B112" s="311" t="s">
        <v>419</v>
      </c>
      <c r="C112" s="128">
        <f t="shared" si="1"/>
        <v>1389340.8916278998</v>
      </c>
      <c r="D112" s="127">
        <f>D109-D110+D111</f>
        <v>318117.38905</v>
      </c>
      <c r="E112" s="127">
        <f>E109-E110+E111</f>
        <v>338664.65056665003</v>
      </c>
      <c r="F112" s="127">
        <f>F109-F110+F111</f>
        <v>359924.38249129994</v>
      </c>
      <c r="G112" s="127">
        <f>G109-G110+G111</f>
        <v>372634.46951994993</v>
      </c>
    </row>
    <row r="113" spans="1:13" s="92" customFormat="1" ht="24" customHeight="1" x14ac:dyDescent="0.3">
      <c r="A113" s="25"/>
      <c r="B113" s="311" t="s">
        <v>420</v>
      </c>
      <c r="C113" s="128">
        <f t="shared" si="1"/>
        <v>1653368.1330791996</v>
      </c>
      <c r="D113" s="128">
        <f>D108-D112</f>
        <v>286901.10960000043</v>
      </c>
      <c r="E113" s="128">
        <f>E108-E112</f>
        <v>376485.15149259992</v>
      </c>
      <c r="F113" s="128">
        <f>F108-F112</f>
        <v>469595.92190479994</v>
      </c>
      <c r="G113" s="128">
        <f>G108-G112</f>
        <v>520385.95008179924</v>
      </c>
    </row>
    <row r="114" spans="1:13" s="92" customFormat="1" ht="14.4" customHeight="1" x14ac:dyDescent="0.3">
      <c r="A114" s="10"/>
      <c r="B114" s="142"/>
      <c r="C114" s="129"/>
      <c r="D114" s="129"/>
      <c r="E114" s="129"/>
      <c r="F114" s="129"/>
      <c r="G114" s="129"/>
      <c r="H114" s="129"/>
      <c r="I114" s="129"/>
      <c r="J114" s="129"/>
      <c r="K114" s="129"/>
      <c r="L114" s="129"/>
      <c r="M114" s="129"/>
    </row>
    <row r="115" spans="1:13" s="149" customFormat="1" ht="13.2" customHeight="1" x14ac:dyDescent="0.3">
      <c r="A115" s="382" t="s">
        <v>421</v>
      </c>
      <c r="B115" s="383"/>
      <c r="C115" s="383"/>
      <c r="D115" s="383"/>
      <c r="E115" s="383"/>
      <c r="F115" s="383"/>
      <c r="G115" s="383"/>
      <c r="H115" s="148"/>
      <c r="I115" s="148"/>
      <c r="J115" s="148"/>
      <c r="K115" s="148"/>
      <c r="L115" s="148"/>
      <c r="M115" s="148"/>
    </row>
    <row r="116" spans="1:13" ht="36" customHeight="1" x14ac:dyDescent="0.3">
      <c r="A116" s="267" t="s">
        <v>422</v>
      </c>
      <c r="B116" s="150"/>
      <c r="C116" s="173" t="s">
        <v>286</v>
      </c>
      <c r="D116" s="266" t="s">
        <v>361</v>
      </c>
      <c r="E116" s="148"/>
      <c r="F116" s="148"/>
      <c r="G116" s="148"/>
      <c r="H116" s="148"/>
      <c r="I116" s="148"/>
      <c r="J116" s="148"/>
      <c r="K116" s="93"/>
      <c r="L116" s="93"/>
      <c r="M116" s="93"/>
    </row>
    <row r="117" spans="1:13" ht="24" customHeight="1" x14ac:dyDescent="0.3">
      <c r="A117" s="11">
        <v>19</v>
      </c>
      <c r="B117" s="8" t="s">
        <v>423</v>
      </c>
      <c r="C117" s="128">
        <f>SUM(D117:D117)</f>
        <v>232680.17</v>
      </c>
      <c r="D117" s="127">
        <f>'2B-Investitie'!E27</f>
        <v>232680.17</v>
      </c>
      <c r="K117" s="93"/>
      <c r="L117" s="93"/>
      <c r="M117" s="93"/>
    </row>
    <row r="118" spans="1:13" x14ac:dyDescent="0.3">
      <c r="A118" s="11">
        <v>20</v>
      </c>
      <c r="B118" s="8" t="s">
        <v>424</v>
      </c>
      <c r="C118" s="128">
        <f>SUM(D118:D118)</f>
        <v>0</v>
      </c>
      <c r="D118" s="127">
        <f>'2B-Investitie'!E28</f>
        <v>0</v>
      </c>
      <c r="K118" s="93"/>
      <c r="L118" s="93"/>
      <c r="M118" s="93"/>
    </row>
    <row r="119" spans="1:13" x14ac:dyDescent="0.3">
      <c r="A119" s="11">
        <v>21</v>
      </c>
      <c r="B119" s="8" t="s">
        <v>425</v>
      </c>
      <c r="C119" s="128">
        <f>SUM(D119:D119)</f>
        <v>202294.44</v>
      </c>
      <c r="D119" s="127">
        <f>'2B-Investitie'!E29</f>
        <v>202294.44</v>
      </c>
      <c r="K119" s="93"/>
      <c r="L119" s="93"/>
      <c r="M119" s="93"/>
    </row>
    <row r="120" spans="1:13" s="149" customFormat="1" ht="24" customHeight="1" x14ac:dyDescent="0.3">
      <c r="A120" s="144"/>
      <c r="B120" s="145" t="s">
        <v>426</v>
      </c>
      <c r="C120" s="146">
        <f>SUM(D120:D120)</f>
        <v>434974.61</v>
      </c>
      <c r="D120" s="146">
        <f>SUM(D117:D119)</f>
        <v>434974.61</v>
      </c>
      <c r="E120" s="129"/>
      <c r="F120" s="129"/>
      <c r="G120" s="129"/>
      <c r="H120" s="129"/>
      <c r="I120" s="129"/>
      <c r="J120" s="129"/>
    </row>
    <row r="121" spans="1:13" ht="36" customHeight="1" x14ac:dyDescent="0.3">
      <c r="A121" s="150" t="s">
        <v>427</v>
      </c>
      <c r="B121" s="150"/>
      <c r="C121" s="173" t="s">
        <v>286</v>
      </c>
      <c r="D121" s="266" t="s">
        <v>361</v>
      </c>
      <c r="E121" s="305" t="s">
        <v>362</v>
      </c>
      <c r="F121" s="305" t="s">
        <v>363</v>
      </c>
      <c r="G121" s="305" t="s">
        <v>364</v>
      </c>
      <c r="H121" s="93"/>
      <c r="I121" s="93"/>
      <c r="J121" s="93"/>
      <c r="K121" s="93"/>
      <c r="L121" s="93"/>
      <c r="M121" s="93"/>
    </row>
    <row r="122" spans="1:13" x14ac:dyDescent="0.3">
      <c r="A122" s="11">
        <v>22</v>
      </c>
      <c r="B122" s="8" t="s">
        <v>428</v>
      </c>
      <c r="C122" s="128">
        <f>SUM(D122:D122)</f>
        <v>0</v>
      </c>
      <c r="D122" s="227">
        <f>'2B-Investitie'!D37</f>
        <v>0</v>
      </c>
      <c r="E122" s="227">
        <f>'2B-Investitie'!E37</f>
        <v>0</v>
      </c>
      <c r="F122" s="227">
        <f>'2B-Investitie'!F37</f>
        <v>0</v>
      </c>
      <c r="G122" s="227">
        <f>'2B-Investitie'!G37</f>
        <v>0</v>
      </c>
      <c r="H122" s="93"/>
      <c r="I122" s="93"/>
      <c r="J122" s="93"/>
      <c r="K122" s="93"/>
      <c r="L122" s="93"/>
      <c r="M122" s="93"/>
    </row>
    <row r="123" spans="1:13" x14ac:dyDescent="0.3">
      <c r="A123" s="11"/>
      <c r="B123" s="306" t="s">
        <v>429</v>
      </c>
      <c r="C123" s="128">
        <f>SUM(D123:D123)</f>
        <v>0</v>
      </c>
      <c r="D123" s="127">
        <f>'2B-Investitie'!D35</f>
        <v>0</v>
      </c>
      <c r="E123" s="127">
        <f>'2B-Investitie'!E35</f>
        <v>0</v>
      </c>
      <c r="F123" s="127">
        <f>'2B-Investitie'!F35</f>
        <v>0</v>
      </c>
      <c r="G123" s="127">
        <f>'2B-Investitie'!G35</f>
        <v>0</v>
      </c>
      <c r="H123" s="93"/>
      <c r="I123" s="93"/>
      <c r="J123" s="93"/>
      <c r="K123" s="93"/>
      <c r="L123" s="93"/>
      <c r="M123" s="93"/>
    </row>
    <row r="124" spans="1:13" s="149" customFormat="1" ht="24" customHeight="1" x14ac:dyDescent="0.3">
      <c r="A124" s="12"/>
      <c r="B124" s="14" t="s">
        <v>430</v>
      </c>
      <c r="C124" s="128">
        <f>SUM(D124:D124)</f>
        <v>0</v>
      </c>
      <c r="D124" s="128">
        <f>D122</f>
        <v>0</v>
      </c>
      <c r="E124" s="128">
        <f>E122</f>
        <v>0</v>
      </c>
      <c r="F124" s="128">
        <f>F122</f>
        <v>0</v>
      </c>
      <c r="G124" s="128">
        <f>G122</f>
        <v>0</v>
      </c>
    </row>
    <row r="125" spans="1:13" s="92" customFormat="1" ht="14.4" customHeight="1" x14ac:dyDescent="0.3">
      <c r="A125" s="25"/>
      <c r="B125" s="311" t="s">
        <v>431</v>
      </c>
      <c r="C125" s="128">
        <f>SUM(D125:D125)</f>
        <v>434974.61</v>
      </c>
      <c r="D125" s="128">
        <f>D120-D124</f>
        <v>434974.61</v>
      </c>
      <c r="E125" s="128">
        <f>E120-E124</f>
        <v>0</v>
      </c>
      <c r="F125" s="128">
        <f>F120-F124</f>
        <v>0</v>
      </c>
      <c r="G125" s="128">
        <f>G120-G124</f>
        <v>0</v>
      </c>
    </row>
    <row r="126" spans="1:13" s="92" customFormat="1" ht="14.4" customHeight="1" x14ac:dyDescent="0.3">
      <c r="A126" s="10"/>
      <c r="B126" s="142"/>
      <c r="C126" s="129"/>
      <c r="D126" s="129"/>
    </row>
    <row r="127" spans="1:13" s="149" customFormat="1" ht="27" customHeight="1" x14ac:dyDescent="0.3">
      <c r="A127" s="366" t="s">
        <v>432</v>
      </c>
      <c r="B127" s="337"/>
      <c r="C127" s="173" t="s">
        <v>286</v>
      </c>
      <c r="D127" s="266" t="s">
        <v>361</v>
      </c>
      <c r="E127" s="305" t="s">
        <v>362</v>
      </c>
      <c r="F127" s="305" t="s">
        <v>363</v>
      </c>
      <c r="G127" s="305" t="s">
        <v>364</v>
      </c>
    </row>
    <row r="128" spans="1:13" x14ac:dyDescent="0.3">
      <c r="A128" s="11">
        <v>23</v>
      </c>
      <c r="B128" s="8" t="s">
        <v>433</v>
      </c>
      <c r="C128" s="128">
        <f t="shared" ref="C128:C133" si="2">SUM(D128:D128)</f>
        <v>434974.61</v>
      </c>
      <c r="D128" s="126">
        <f>'2B-Investitie'!C24</f>
        <v>434974.61</v>
      </c>
      <c r="E128" s="126">
        <v>0</v>
      </c>
      <c r="F128" s="126">
        <v>0</v>
      </c>
      <c r="G128" s="126">
        <v>0</v>
      </c>
      <c r="H128" s="93"/>
      <c r="I128" s="93"/>
      <c r="J128" s="93"/>
      <c r="K128" s="93"/>
      <c r="L128" s="93"/>
      <c r="M128" s="93"/>
    </row>
    <row r="129" spans="1:7" s="93" customFormat="1" x14ac:dyDescent="0.3">
      <c r="A129" s="11">
        <v>24</v>
      </c>
      <c r="B129" s="8" t="s">
        <v>434</v>
      </c>
      <c r="C129" s="128">
        <f t="shared" si="2"/>
        <v>0</v>
      </c>
      <c r="D129" s="126">
        <v>0</v>
      </c>
      <c r="E129" s="126">
        <v>0</v>
      </c>
      <c r="F129" s="126">
        <v>0</v>
      </c>
      <c r="G129" s="126">
        <v>0</v>
      </c>
    </row>
    <row r="130" spans="1:7" s="93" customFormat="1" x14ac:dyDescent="0.3">
      <c r="A130" s="11">
        <v>25</v>
      </c>
      <c r="B130" s="8" t="s">
        <v>435</v>
      </c>
      <c r="C130" s="128">
        <f t="shared" si="2"/>
        <v>0</v>
      </c>
      <c r="D130" s="126">
        <v>0</v>
      </c>
      <c r="E130" s="126">
        <v>0</v>
      </c>
      <c r="F130" s="126">
        <v>0</v>
      </c>
      <c r="G130" s="126">
        <v>0</v>
      </c>
    </row>
    <row r="131" spans="1:7" s="149" customFormat="1" ht="13.2" customHeight="1" x14ac:dyDescent="0.3">
      <c r="A131" s="12"/>
      <c r="B131" s="14" t="s">
        <v>436</v>
      </c>
      <c r="C131" s="128">
        <f t="shared" si="2"/>
        <v>434974.61</v>
      </c>
      <c r="D131" s="128">
        <f>SUM(D128:D130)</f>
        <v>434974.61</v>
      </c>
      <c r="E131" s="128">
        <f>SUM(E128:E130)</f>
        <v>0</v>
      </c>
      <c r="F131" s="128">
        <f>SUM(F128:F130)</f>
        <v>0</v>
      </c>
      <c r="G131" s="128">
        <f>SUM(G128:G130)</f>
        <v>0</v>
      </c>
    </row>
    <row r="132" spans="1:7" s="92" customFormat="1" ht="14.4" customHeight="1" x14ac:dyDescent="0.3">
      <c r="A132" s="25"/>
      <c r="B132" s="311" t="s">
        <v>437</v>
      </c>
      <c r="C132" s="128">
        <f t="shared" si="2"/>
        <v>-434974.61</v>
      </c>
      <c r="D132" s="128">
        <f>-D131</f>
        <v>-434974.61</v>
      </c>
      <c r="E132" s="128">
        <f>-E131</f>
        <v>0</v>
      </c>
      <c r="F132" s="128">
        <f>-F131</f>
        <v>0</v>
      </c>
      <c r="G132" s="128">
        <f>-G131</f>
        <v>0</v>
      </c>
    </row>
    <row r="133" spans="1:7" s="92" customFormat="1" ht="14.4" customHeight="1" x14ac:dyDescent="0.3">
      <c r="A133" s="366" t="s">
        <v>438</v>
      </c>
      <c r="B133" s="337"/>
      <c r="C133" s="128">
        <f t="shared" si="2"/>
        <v>0</v>
      </c>
      <c r="D133" s="128">
        <f>D125+D132</f>
        <v>0</v>
      </c>
      <c r="E133" s="128">
        <f>E125+E132</f>
        <v>0</v>
      </c>
      <c r="F133" s="128">
        <f>F125+F132</f>
        <v>0</v>
      </c>
      <c r="G133" s="128">
        <f>G125+G132</f>
        <v>0</v>
      </c>
    </row>
    <row r="134" spans="1:7" s="92" customFormat="1" ht="14.4" customHeight="1" x14ac:dyDescent="0.3">
      <c r="A134" s="142"/>
      <c r="B134" s="142"/>
      <c r="C134" s="129"/>
      <c r="D134" s="129"/>
      <c r="E134" s="129"/>
      <c r="F134" s="129"/>
      <c r="G134" s="129"/>
    </row>
    <row r="135" spans="1:7" s="92" customFormat="1" ht="36" customHeight="1" x14ac:dyDescent="0.3">
      <c r="A135" s="365" t="s">
        <v>439</v>
      </c>
      <c r="B135" s="329"/>
      <c r="C135" s="173" t="s">
        <v>286</v>
      </c>
      <c r="D135" s="266" t="s">
        <v>361</v>
      </c>
      <c r="E135" s="305" t="s">
        <v>362</v>
      </c>
      <c r="F135" s="305" t="s">
        <v>363</v>
      </c>
      <c r="G135" s="305" t="s">
        <v>364</v>
      </c>
    </row>
    <row r="136" spans="1:7" s="92" customFormat="1" ht="14.4" customHeight="1" x14ac:dyDescent="0.3">
      <c r="A136" s="352"/>
      <c r="B136" s="353"/>
      <c r="C136" s="128">
        <f>SUM(D136:G136)</f>
        <v>1653368.1330791996</v>
      </c>
      <c r="D136" s="128">
        <f>D113+D133</f>
        <v>286901.10960000043</v>
      </c>
      <c r="E136" s="128">
        <f>E113+E133</f>
        <v>376485.15149259992</v>
      </c>
      <c r="F136" s="128">
        <f>F113+F133</f>
        <v>469595.92190479994</v>
      </c>
      <c r="G136" s="128">
        <f>G113+G133</f>
        <v>520385.95008179924</v>
      </c>
    </row>
    <row r="137" spans="1:7" s="93" customFormat="1" x14ac:dyDescent="0.3">
      <c r="A137" s="371" t="s">
        <v>410</v>
      </c>
      <c r="B137" s="337"/>
      <c r="C137" s="128"/>
      <c r="D137" s="127">
        <f>'1A-Bilant'!C28</f>
        <v>32762</v>
      </c>
      <c r="E137" s="127">
        <f>D138</f>
        <v>319663.10960000043</v>
      </c>
      <c r="F137" s="127">
        <f>E138</f>
        <v>696148.26109260041</v>
      </c>
      <c r="G137" s="127">
        <f>F138</f>
        <v>1165744.1829974004</v>
      </c>
    </row>
    <row r="138" spans="1:7" s="93" customFormat="1" ht="21.75" customHeight="1" x14ac:dyDescent="0.3">
      <c r="A138" s="371" t="s">
        <v>411</v>
      </c>
      <c r="B138" s="337"/>
      <c r="C138" s="128"/>
      <c r="D138" s="127">
        <f>D136 + D137</f>
        <v>319663.10960000043</v>
      </c>
      <c r="E138" s="127">
        <f>E136 + E137</f>
        <v>696148.26109260041</v>
      </c>
      <c r="F138" s="127">
        <f>F136 + F137</f>
        <v>1165744.1829974004</v>
      </c>
      <c r="G138" s="127">
        <f>G136 + G137</f>
        <v>1686130.1330791996</v>
      </c>
    </row>
    <row r="139" spans="1:7" s="93" customFormat="1" ht="21.75" customHeight="1" x14ac:dyDescent="0.3">
      <c r="A139" s="237"/>
      <c r="B139" s="237"/>
      <c r="C139" s="129"/>
      <c r="D139" s="238"/>
      <c r="E139" s="238"/>
      <c r="F139" s="238"/>
      <c r="G139" s="238"/>
    </row>
    <row r="140" spans="1:7" s="90" customFormat="1" ht="14.4" customHeight="1" x14ac:dyDescent="0.3">
      <c r="A140" s="381" t="s">
        <v>440</v>
      </c>
      <c r="B140" s="378"/>
      <c r="C140" s="378"/>
      <c r="D140" s="378"/>
      <c r="E140" s="378"/>
      <c r="F140" s="378"/>
      <c r="G140" s="378"/>
    </row>
    <row r="141" spans="1:7" s="90" customFormat="1" ht="14.4" customHeight="1" x14ac:dyDescent="0.3">
      <c r="A141" s="374" t="s">
        <v>359</v>
      </c>
      <c r="B141" s="373"/>
      <c r="C141" s="375" t="s">
        <v>286</v>
      </c>
      <c r="D141" s="376" t="s">
        <v>360</v>
      </c>
      <c r="E141" s="326"/>
      <c r="F141" s="326"/>
      <c r="G141" s="337"/>
    </row>
    <row r="142" spans="1:7" s="90" customFormat="1" ht="36" customHeight="1" x14ac:dyDescent="0.3">
      <c r="A142" s="348"/>
      <c r="B142" s="348"/>
      <c r="C142" s="348"/>
      <c r="D142" s="266" t="s">
        <v>361</v>
      </c>
      <c r="E142" s="305" t="s">
        <v>362</v>
      </c>
      <c r="F142" s="305" t="s">
        <v>363</v>
      </c>
      <c r="G142" s="305" t="s">
        <v>364</v>
      </c>
    </row>
    <row r="143" spans="1:7" s="90" customFormat="1" ht="14.4" customHeight="1" x14ac:dyDescent="0.3">
      <c r="A143" s="380" t="s">
        <v>441</v>
      </c>
      <c r="B143" s="326"/>
      <c r="C143" s="326"/>
      <c r="D143" s="326"/>
      <c r="E143" s="326"/>
      <c r="F143" s="326"/>
      <c r="G143" s="337"/>
    </row>
    <row r="144" spans="1:7" s="90" customFormat="1" ht="14.4" customHeight="1" x14ac:dyDescent="0.3">
      <c r="A144" s="367" t="s">
        <v>442</v>
      </c>
      <c r="B144" s="326"/>
      <c r="C144" s="326"/>
      <c r="D144" s="326"/>
      <c r="E144" s="326"/>
      <c r="F144" s="326"/>
      <c r="G144" s="337"/>
    </row>
    <row r="145" spans="1:7" s="90" customFormat="1" ht="14.4" customHeight="1" x14ac:dyDescent="0.3">
      <c r="A145" s="366" t="s">
        <v>443</v>
      </c>
      <c r="B145" s="326"/>
      <c r="C145" s="326"/>
      <c r="D145" s="326"/>
      <c r="E145" s="326"/>
      <c r="F145" s="326"/>
      <c r="G145" s="337"/>
    </row>
    <row r="146" spans="1:7" s="90" customFormat="1" ht="14.4" customHeight="1" x14ac:dyDescent="0.3">
      <c r="A146" s="4">
        <v>1</v>
      </c>
      <c r="B146" s="306" t="s">
        <v>367</v>
      </c>
      <c r="C146" s="128">
        <f>SUM(D146:G146)</f>
        <v>0</v>
      </c>
      <c r="D146" s="127">
        <f>D65-D9</f>
        <v>0</v>
      </c>
      <c r="E146" s="127">
        <f>E65-E9</f>
        <v>0</v>
      </c>
      <c r="F146" s="127">
        <f>F65-F9</f>
        <v>0</v>
      </c>
      <c r="G146" s="127">
        <f>G65-G9</f>
        <v>0</v>
      </c>
    </row>
    <row r="147" spans="1:7" s="90" customFormat="1" ht="14.4" customHeight="1" x14ac:dyDescent="0.3">
      <c r="A147" s="4">
        <v>2</v>
      </c>
      <c r="B147" s="306" t="s">
        <v>370</v>
      </c>
      <c r="C147" s="128">
        <f>SUM(D147:G147)</f>
        <v>0</v>
      </c>
      <c r="D147" s="127">
        <f>D68-D12</f>
        <v>0</v>
      </c>
      <c r="E147" s="127">
        <f>E68-E12</f>
        <v>0</v>
      </c>
      <c r="F147" s="127">
        <f>F68-F12</f>
        <v>0</v>
      </c>
      <c r="G147" s="127">
        <f>G68-G12</f>
        <v>0</v>
      </c>
    </row>
    <row r="148" spans="1:7" s="90" customFormat="1" ht="14.4" customHeight="1" x14ac:dyDescent="0.3">
      <c r="A148" s="4">
        <v>3</v>
      </c>
      <c r="B148" s="306" t="s">
        <v>373</v>
      </c>
      <c r="C148" s="128">
        <f>SUM(D148:G148)</f>
        <v>495986.27452919725</v>
      </c>
      <c r="D148" s="127">
        <f>D71-D15</f>
        <v>0</v>
      </c>
      <c r="E148" s="127">
        <f>E71-E15</f>
        <v>89023.177479599603</v>
      </c>
      <c r="F148" s="127">
        <f>F71-F15</f>
        <v>182285.55388679914</v>
      </c>
      <c r="G148" s="127">
        <f>G71-G15</f>
        <v>224677.54316279851</v>
      </c>
    </row>
    <row r="149" spans="1:7" s="92" customFormat="1" ht="23.25" customHeight="1" x14ac:dyDescent="0.3">
      <c r="A149" s="366" t="s">
        <v>444</v>
      </c>
      <c r="B149" s="337"/>
      <c r="C149" s="128">
        <f>SUM(D149:G149)</f>
        <v>495986.27452919725</v>
      </c>
      <c r="D149" s="128">
        <f>D74-D18</f>
        <v>0</v>
      </c>
      <c r="E149" s="128">
        <f>E74-E18</f>
        <v>89023.177479599603</v>
      </c>
      <c r="F149" s="128">
        <f>F74-F18</f>
        <v>182285.55388679914</v>
      </c>
      <c r="G149" s="128">
        <f>G74-G18</f>
        <v>224677.54316279851</v>
      </c>
    </row>
    <row r="150" spans="1:7" s="92" customFormat="1" ht="14.4" customHeight="1" x14ac:dyDescent="0.3">
      <c r="A150" s="367" t="s">
        <v>445</v>
      </c>
      <c r="B150" s="326"/>
      <c r="C150" s="326"/>
      <c r="D150" s="326"/>
      <c r="E150" s="326"/>
      <c r="F150" s="326"/>
      <c r="G150" s="337"/>
    </row>
    <row r="151" spans="1:7" s="92" customFormat="1" ht="14.4" customHeight="1" x14ac:dyDescent="0.3">
      <c r="A151" s="366" t="s">
        <v>446</v>
      </c>
      <c r="B151" s="326"/>
      <c r="C151" s="326"/>
      <c r="D151" s="326"/>
      <c r="E151" s="326"/>
      <c r="F151" s="326"/>
      <c r="G151" s="337"/>
    </row>
    <row r="152" spans="1:7" s="90" customFormat="1" ht="24" customHeight="1" x14ac:dyDescent="0.3">
      <c r="A152" s="4">
        <v>5</v>
      </c>
      <c r="B152" s="6" t="s">
        <v>379</v>
      </c>
      <c r="C152" s="128">
        <f t="shared" ref="C152:C171" si="3">SUM(D152:G152)</f>
        <v>-4006.4158637998626</v>
      </c>
      <c r="D152" s="127">
        <f>D77-D21</f>
        <v>0</v>
      </c>
      <c r="E152" s="127">
        <f>E77-E21</f>
        <v>-667.73597729997709</v>
      </c>
      <c r="F152" s="127">
        <f>F77-F21</f>
        <v>-1335.4719545999542</v>
      </c>
      <c r="G152" s="127">
        <f>G77-G21</f>
        <v>-2003.2079318999313</v>
      </c>
    </row>
    <row r="153" spans="1:7" s="90" customFormat="1" ht="14.4" customHeight="1" x14ac:dyDescent="0.3">
      <c r="A153" s="4">
        <v>6</v>
      </c>
      <c r="B153" s="6" t="s">
        <v>384</v>
      </c>
      <c r="C153" s="128">
        <f t="shared" si="3"/>
        <v>0</v>
      </c>
      <c r="D153" s="127">
        <f>D82-D26</f>
        <v>0</v>
      </c>
      <c r="E153" s="127">
        <f>E82-E26</f>
        <v>0</v>
      </c>
      <c r="F153" s="127">
        <f>F82-F26</f>
        <v>0</v>
      </c>
      <c r="G153" s="127">
        <f>G82-G26</f>
        <v>0</v>
      </c>
    </row>
    <row r="154" spans="1:7" s="90" customFormat="1" ht="24" customHeight="1" x14ac:dyDescent="0.3">
      <c r="A154" s="4">
        <v>7</v>
      </c>
      <c r="B154" s="306" t="s">
        <v>386</v>
      </c>
      <c r="C154" s="128">
        <f t="shared" si="3"/>
        <v>0</v>
      </c>
      <c r="D154" s="127">
        <f t="shared" ref="D154:G155" si="4">D85-D29</f>
        <v>0</v>
      </c>
      <c r="E154" s="127">
        <f t="shared" si="4"/>
        <v>0</v>
      </c>
      <c r="F154" s="127">
        <f t="shared" si="4"/>
        <v>0</v>
      </c>
      <c r="G154" s="127">
        <f t="shared" si="4"/>
        <v>0</v>
      </c>
    </row>
    <row r="155" spans="1:7" s="90" customFormat="1" ht="14.4" customHeight="1" x14ac:dyDescent="0.3">
      <c r="A155" s="4">
        <v>8</v>
      </c>
      <c r="B155" s="306" t="s">
        <v>387</v>
      </c>
      <c r="C155" s="128">
        <f t="shared" si="3"/>
        <v>-5932.3860960000311</v>
      </c>
      <c r="D155" s="127">
        <f t="shared" si="4"/>
        <v>0</v>
      </c>
      <c r="E155" s="127">
        <f t="shared" si="4"/>
        <v>-988.73101600000518</v>
      </c>
      <c r="F155" s="127">
        <f t="shared" si="4"/>
        <v>-1977.4620320000104</v>
      </c>
      <c r="G155" s="127">
        <f t="shared" si="4"/>
        <v>-2966.1930480000156</v>
      </c>
    </row>
    <row r="156" spans="1:7" s="90" customFormat="1" ht="14.4" customHeight="1" x14ac:dyDescent="0.3">
      <c r="A156" s="4">
        <v>9</v>
      </c>
      <c r="B156" s="306" t="s">
        <v>390</v>
      </c>
      <c r="C156" s="128">
        <f t="shared" si="3"/>
        <v>0</v>
      </c>
      <c r="D156" s="127">
        <f>D89-D33</f>
        <v>0</v>
      </c>
      <c r="E156" s="127">
        <f>E89-E33</f>
        <v>0</v>
      </c>
      <c r="F156" s="127">
        <f>F89-F33</f>
        <v>0</v>
      </c>
      <c r="G156" s="127">
        <f>G89-G33</f>
        <v>0</v>
      </c>
    </row>
    <row r="157" spans="1:7" s="90" customFormat="1" ht="14.4" customHeight="1" x14ac:dyDescent="0.3">
      <c r="A157" s="4">
        <v>10</v>
      </c>
      <c r="B157" s="306" t="s">
        <v>391</v>
      </c>
      <c r="C157" s="128">
        <f t="shared" si="3"/>
        <v>0</v>
      </c>
      <c r="D157" s="127">
        <f>D92-D36</f>
        <v>0</v>
      </c>
      <c r="E157" s="127">
        <f>E92-E36</f>
        <v>0</v>
      </c>
      <c r="F157" s="127">
        <f>F92-F36</f>
        <v>0</v>
      </c>
      <c r="G157" s="127">
        <f>G92-G36</f>
        <v>0</v>
      </c>
    </row>
    <row r="158" spans="1:7" s="90" customFormat="1" ht="14.4" customHeight="1" x14ac:dyDescent="0.3">
      <c r="A158" s="4"/>
      <c r="B158" s="311" t="s">
        <v>392</v>
      </c>
      <c r="C158" s="128">
        <f t="shared" si="3"/>
        <v>-9938.8019598000683</v>
      </c>
      <c r="D158" s="128">
        <f t="shared" ref="D158:G159" si="5">D95-D39</f>
        <v>0</v>
      </c>
      <c r="E158" s="128">
        <f t="shared" si="5"/>
        <v>-1656.4669933000114</v>
      </c>
      <c r="F158" s="128">
        <f t="shared" si="5"/>
        <v>-3312.9339866000228</v>
      </c>
      <c r="G158" s="128">
        <f t="shared" si="5"/>
        <v>-4969.4009799000341</v>
      </c>
    </row>
    <row r="159" spans="1:7" s="90" customFormat="1" ht="14.4" customHeight="1" x14ac:dyDescent="0.3">
      <c r="A159" s="4">
        <v>11</v>
      </c>
      <c r="B159" s="306" t="s">
        <v>393</v>
      </c>
      <c r="C159" s="128">
        <f t="shared" si="3"/>
        <v>65737.079999999609</v>
      </c>
      <c r="D159" s="127">
        <f t="shared" si="5"/>
        <v>0</v>
      </c>
      <c r="E159" s="127">
        <f t="shared" si="5"/>
        <v>10956.179999999935</v>
      </c>
      <c r="F159" s="127">
        <f t="shared" si="5"/>
        <v>21912.35999999987</v>
      </c>
      <c r="G159" s="127">
        <f t="shared" si="5"/>
        <v>32868.539999999804</v>
      </c>
    </row>
    <row r="160" spans="1:7" s="90" customFormat="1" ht="14.4" customHeight="1" x14ac:dyDescent="0.3">
      <c r="A160" s="7">
        <v>12</v>
      </c>
      <c r="B160" s="6" t="s">
        <v>397</v>
      </c>
      <c r="C160" s="128">
        <f t="shared" si="3"/>
        <v>1479.0842999999913</v>
      </c>
      <c r="D160" s="127">
        <f t="shared" ref="D160:G163" si="6">D100-D44</f>
        <v>0</v>
      </c>
      <c r="E160" s="127">
        <f t="shared" si="6"/>
        <v>246.51404999999795</v>
      </c>
      <c r="F160" s="127">
        <f t="shared" si="6"/>
        <v>493.0280999999959</v>
      </c>
      <c r="G160" s="127">
        <f t="shared" si="6"/>
        <v>739.54214999999749</v>
      </c>
    </row>
    <row r="161" spans="1:13" s="92" customFormat="1" ht="14.4" customHeight="1" x14ac:dyDescent="0.3">
      <c r="A161" s="4"/>
      <c r="B161" s="311" t="s">
        <v>398</v>
      </c>
      <c r="C161" s="128">
        <f t="shared" si="3"/>
        <v>67216.164299999364</v>
      </c>
      <c r="D161" s="128">
        <f t="shared" si="6"/>
        <v>0</v>
      </c>
      <c r="E161" s="128">
        <f t="shared" si="6"/>
        <v>11202.694049999816</v>
      </c>
      <c r="F161" s="128">
        <f t="shared" si="6"/>
        <v>22405.388099999866</v>
      </c>
      <c r="G161" s="128">
        <f t="shared" si="6"/>
        <v>33608.082149999682</v>
      </c>
    </row>
    <row r="162" spans="1:13" s="90" customFormat="1" ht="36" customHeight="1" x14ac:dyDescent="0.3">
      <c r="A162" s="4">
        <v>13</v>
      </c>
      <c r="B162" s="6" t="s">
        <v>399</v>
      </c>
      <c r="C162" s="128">
        <f t="shared" si="3"/>
        <v>-10019.728290600004</v>
      </c>
      <c r="D162" s="127">
        <f t="shared" si="6"/>
        <v>0</v>
      </c>
      <c r="E162" s="127">
        <f t="shared" si="6"/>
        <v>-1669.9547151000006</v>
      </c>
      <c r="F162" s="127">
        <f t="shared" si="6"/>
        <v>-3339.9094302000012</v>
      </c>
      <c r="G162" s="127">
        <f t="shared" si="6"/>
        <v>-5009.8641453000018</v>
      </c>
    </row>
    <row r="163" spans="1:13" s="90" customFormat="1" ht="24" customHeight="1" x14ac:dyDescent="0.3">
      <c r="A163" s="4"/>
      <c r="B163" s="306" t="s">
        <v>416</v>
      </c>
      <c r="C163" s="128">
        <f t="shared" si="3"/>
        <v>0</v>
      </c>
      <c r="D163" s="127">
        <f t="shared" si="6"/>
        <v>0</v>
      </c>
      <c r="E163" s="127">
        <f t="shared" si="6"/>
        <v>0</v>
      </c>
      <c r="F163" s="127">
        <f t="shared" si="6"/>
        <v>0</v>
      </c>
      <c r="G163" s="127">
        <f t="shared" si="6"/>
        <v>0</v>
      </c>
    </row>
    <row r="164" spans="1:13" s="149" customFormat="1" ht="36" customHeight="1" x14ac:dyDescent="0.3">
      <c r="A164" s="147">
        <v>14</v>
      </c>
      <c r="B164" s="311" t="s">
        <v>447</v>
      </c>
      <c r="C164" s="128">
        <f t="shared" si="3"/>
        <v>1320.4740000000311</v>
      </c>
      <c r="D164" s="128">
        <f t="shared" ref="D164:G171" si="7">D106-D50</f>
        <v>0</v>
      </c>
      <c r="E164" s="128">
        <f t="shared" si="7"/>
        <v>220.07900000000518</v>
      </c>
      <c r="F164" s="128">
        <f t="shared" si="7"/>
        <v>440.15800000001036</v>
      </c>
      <c r="G164" s="128">
        <f t="shared" si="7"/>
        <v>660.23700000001554</v>
      </c>
    </row>
    <row r="165" spans="1:13" s="149" customFormat="1" ht="24" customHeight="1" x14ac:dyDescent="0.3">
      <c r="A165" s="147"/>
      <c r="B165" s="311" t="s">
        <v>448</v>
      </c>
      <c r="C165" s="128">
        <f t="shared" si="3"/>
        <v>48578.108049599454</v>
      </c>
      <c r="D165" s="128">
        <f t="shared" si="7"/>
        <v>0</v>
      </c>
      <c r="E165" s="128">
        <f t="shared" si="7"/>
        <v>8096.3513415995985</v>
      </c>
      <c r="F165" s="128">
        <f t="shared" si="7"/>
        <v>16192.702683199663</v>
      </c>
      <c r="G165" s="128">
        <f t="shared" si="7"/>
        <v>24289.054024800193</v>
      </c>
    </row>
    <row r="166" spans="1:13" s="149" customFormat="1" ht="24" customHeight="1" x14ac:dyDescent="0.3">
      <c r="A166" s="147"/>
      <c r="B166" s="311" t="s">
        <v>449</v>
      </c>
      <c r="C166" s="128">
        <f t="shared" si="3"/>
        <v>447408.1664795978</v>
      </c>
      <c r="D166" s="128">
        <f t="shared" si="7"/>
        <v>0</v>
      </c>
      <c r="E166" s="128">
        <f t="shared" si="7"/>
        <v>80926.826138000004</v>
      </c>
      <c r="F166" s="128">
        <f t="shared" si="7"/>
        <v>166092.85120359948</v>
      </c>
      <c r="G166" s="128">
        <f t="shared" si="7"/>
        <v>200388.48913799832</v>
      </c>
    </row>
    <row r="167" spans="1:13" x14ac:dyDescent="0.3">
      <c r="A167" s="7">
        <v>15</v>
      </c>
      <c r="B167" s="8" t="s">
        <v>405</v>
      </c>
      <c r="C167" s="128">
        <f t="shared" si="3"/>
        <v>82377.7419395998</v>
      </c>
      <c r="D167" s="127">
        <f t="shared" si="7"/>
        <v>0</v>
      </c>
      <c r="E167" s="127">
        <f t="shared" si="7"/>
        <v>14744.893987999996</v>
      </c>
      <c r="F167" s="127">
        <f t="shared" si="7"/>
        <v>30166.63486359996</v>
      </c>
      <c r="G167" s="127">
        <f t="shared" si="7"/>
        <v>37466.213087999844</v>
      </c>
      <c r="H167" s="93"/>
      <c r="I167" s="93"/>
      <c r="J167" s="93"/>
      <c r="K167" s="93"/>
      <c r="L167" s="93"/>
      <c r="M167" s="93"/>
    </row>
    <row r="168" spans="1:13" x14ac:dyDescent="0.3">
      <c r="A168" s="7">
        <v>16</v>
      </c>
      <c r="B168" s="8" t="s">
        <v>406</v>
      </c>
      <c r="C168" s="128">
        <f t="shared" si="3"/>
        <v>0</v>
      </c>
      <c r="D168" s="127">
        <f t="shared" si="7"/>
        <v>0</v>
      </c>
      <c r="E168" s="127">
        <f t="shared" si="7"/>
        <v>0</v>
      </c>
      <c r="F168" s="127">
        <f t="shared" si="7"/>
        <v>0</v>
      </c>
      <c r="G168" s="127">
        <f t="shared" si="7"/>
        <v>0</v>
      </c>
      <c r="H168" s="93"/>
      <c r="I168" s="93"/>
      <c r="J168" s="93"/>
      <c r="K168" s="93"/>
      <c r="L168" s="93"/>
      <c r="M168" s="93"/>
    </row>
    <row r="169" spans="1:13" x14ac:dyDescent="0.3">
      <c r="A169" s="7">
        <v>17</v>
      </c>
      <c r="B169" s="8" t="s">
        <v>407</v>
      </c>
      <c r="C169" s="128">
        <f t="shared" si="3"/>
        <v>-16543.56287376002</v>
      </c>
      <c r="D169" s="127">
        <f t="shared" si="7"/>
        <v>0</v>
      </c>
      <c r="E169" s="127">
        <f t="shared" si="7"/>
        <v>-6088.059636359998</v>
      </c>
      <c r="F169" s="127">
        <f t="shared" si="7"/>
        <v>-5372.0268763200074</v>
      </c>
      <c r="G169" s="127">
        <f t="shared" si="7"/>
        <v>-5083.4763610800146</v>
      </c>
      <c r="H169" s="93"/>
      <c r="I169" s="93"/>
      <c r="J169" s="93"/>
      <c r="K169" s="93"/>
      <c r="L169" s="93"/>
      <c r="M169" s="93"/>
    </row>
    <row r="170" spans="1:13" s="149" customFormat="1" ht="13.2" customHeight="1" x14ac:dyDescent="0.3">
      <c r="A170" s="366" t="s">
        <v>450</v>
      </c>
      <c r="B170" s="337"/>
      <c r="C170" s="128">
        <f t="shared" si="3"/>
        <v>65834.179065839795</v>
      </c>
      <c r="D170" s="128">
        <f t="shared" si="7"/>
        <v>0</v>
      </c>
      <c r="E170" s="128">
        <f t="shared" si="7"/>
        <v>8656.83435164002</v>
      </c>
      <c r="F170" s="128">
        <f t="shared" si="7"/>
        <v>24794.607987279946</v>
      </c>
      <c r="G170" s="128">
        <f t="shared" si="7"/>
        <v>32382.736726919829</v>
      </c>
    </row>
    <row r="171" spans="1:13" s="92" customFormat="1" ht="27" customHeight="1" x14ac:dyDescent="0.3">
      <c r="A171" s="366" t="s">
        <v>451</v>
      </c>
      <c r="B171" s="337"/>
      <c r="C171" s="128">
        <f t="shared" si="3"/>
        <v>381573.987413758</v>
      </c>
      <c r="D171" s="128">
        <f t="shared" si="7"/>
        <v>0</v>
      </c>
      <c r="E171" s="128">
        <f t="shared" si="7"/>
        <v>72269.991786359984</v>
      </c>
      <c r="F171" s="128">
        <f t="shared" si="7"/>
        <v>141298.24321631953</v>
      </c>
      <c r="G171" s="128">
        <f t="shared" si="7"/>
        <v>168005.75241107849</v>
      </c>
    </row>
    <row r="172" spans="1:13" s="92" customFormat="1" ht="14.4" customHeight="1" x14ac:dyDescent="0.3">
      <c r="A172" s="10"/>
      <c r="B172" s="142"/>
      <c r="C172" s="129"/>
      <c r="D172" s="129"/>
      <c r="E172" s="129"/>
      <c r="F172" s="129"/>
      <c r="G172" s="129"/>
      <c r="H172" s="129"/>
      <c r="I172" s="129"/>
      <c r="J172" s="129"/>
      <c r="K172" s="129"/>
      <c r="L172" s="129"/>
      <c r="M172" s="129"/>
    </row>
    <row r="173" spans="1:13" s="149" customFormat="1" ht="13.2" customHeight="1" x14ac:dyDescent="0.3">
      <c r="A173" s="148" t="s">
        <v>421</v>
      </c>
      <c r="B173" s="148"/>
      <c r="C173" s="148"/>
      <c r="D173" s="148"/>
      <c r="E173" s="148"/>
      <c r="F173" s="148"/>
      <c r="G173" s="148"/>
      <c r="H173" s="148"/>
      <c r="I173" s="148"/>
      <c r="J173" s="148"/>
      <c r="K173" s="148"/>
      <c r="L173" s="148"/>
      <c r="M173" s="148"/>
    </row>
    <row r="174" spans="1:13" ht="36" customHeight="1" x14ac:dyDescent="0.3">
      <c r="A174" s="150" t="s">
        <v>422</v>
      </c>
      <c r="B174" s="150"/>
      <c r="C174" s="305" t="s">
        <v>286</v>
      </c>
      <c r="D174" s="266" t="s">
        <v>361</v>
      </c>
      <c r="E174" s="148"/>
      <c r="F174" s="148"/>
      <c r="G174" s="148"/>
      <c r="H174" s="148"/>
      <c r="I174" s="148"/>
      <c r="J174" s="148"/>
      <c r="K174" s="93"/>
      <c r="L174" s="93"/>
      <c r="M174" s="93"/>
    </row>
    <row r="175" spans="1:13" ht="24" customHeight="1" x14ac:dyDescent="0.3">
      <c r="A175" s="11">
        <v>19</v>
      </c>
      <c r="B175" s="8" t="s">
        <v>423</v>
      </c>
      <c r="C175" s="128">
        <f>SUM(D175:D175)</f>
        <v>232680.17</v>
      </c>
      <c r="D175" s="127">
        <f>'2B-Investitie'!E27</f>
        <v>232680.17</v>
      </c>
      <c r="K175" s="93"/>
      <c r="L175" s="93"/>
      <c r="M175" s="93"/>
    </row>
    <row r="176" spans="1:13" x14ac:dyDescent="0.3">
      <c r="A176" s="11">
        <v>20</v>
      </c>
      <c r="B176" s="8" t="s">
        <v>424</v>
      </c>
      <c r="C176" s="128">
        <f>SUM(D176:D176)</f>
        <v>0</v>
      </c>
      <c r="D176" s="127">
        <f>'2B-Investitie'!E28</f>
        <v>0</v>
      </c>
      <c r="K176" s="93"/>
      <c r="L176" s="93"/>
      <c r="M176" s="93"/>
    </row>
    <row r="177" spans="1:10" s="93" customFormat="1" x14ac:dyDescent="0.3">
      <c r="A177" s="11">
        <v>21</v>
      </c>
      <c r="B177" s="8" t="s">
        <v>452</v>
      </c>
      <c r="C177" s="128">
        <f>SUM(D177:D177)</f>
        <v>202294.44</v>
      </c>
      <c r="D177" s="127">
        <f>'2B-Investitie'!E29</f>
        <v>202294.44</v>
      </c>
      <c r="E177" s="238"/>
      <c r="F177" s="238"/>
      <c r="G177" s="238"/>
      <c r="H177" s="238"/>
      <c r="I177" s="238"/>
      <c r="J177" s="238"/>
    </row>
    <row r="178" spans="1:10" s="149" customFormat="1" ht="13.2" customHeight="1" x14ac:dyDescent="0.3">
      <c r="A178" s="12"/>
      <c r="B178" s="14" t="s">
        <v>453</v>
      </c>
      <c r="C178" s="128">
        <f>SUM(D178:D178)</f>
        <v>434974.61</v>
      </c>
      <c r="D178" s="128">
        <f>SUM(D175:D177)</f>
        <v>434974.61</v>
      </c>
      <c r="E178" s="129"/>
      <c r="F178" s="129"/>
      <c r="G178" s="129"/>
      <c r="H178" s="129"/>
      <c r="I178" s="129"/>
      <c r="J178" s="129"/>
    </row>
    <row r="179" spans="1:10" s="93" customFormat="1" ht="36" customHeight="1" x14ac:dyDescent="0.3">
      <c r="A179" s="150" t="s">
        <v>427</v>
      </c>
      <c r="B179" s="150"/>
      <c r="C179" s="305" t="s">
        <v>286</v>
      </c>
      <c r="D179" s="266" t="s">
        <v>361</v>
      </c>
      <c r="E179" s="305" t="s">
        <v>362</v>
      </c>
      <c r="F179" s="305" t="s">
        <v>363</v>
      </c>
      <c r="G179" s="305" t="s">
        <v>364</v>
      </c>
    </row>
    <row r="180" spans="1:10" s="93" customFormat="1" x14ac:dyDescent="0.3">
      <c r="A180" s="11">
        <v>22</v>
      </c>
      <c r="B180" s="8" t="s">
        <v>428</v>
      </c>
      <c r="C180" s="128">
        <f>SUM(D180:G180)</f>
        <v>0</v>
      </c>
      <c r="D180" s="127">
        <f>D122</f>
        <v>0</v>
      </c>
      <c r="E180" s="127">
        <f>E122</f>
        <v>0</v>
      </c>
      <c r="F180" s="127">
        <f>F122</f>
        <v>0</v>
      </c>
      <c r="G180" s="127">
        <f>G122</f>
        <v>0</v>
      </c>
    </row>
    <row r="181" spans="1:10" s="93" customFormat="1" x14ac:dyDescent="0.3">
      <c r="A181" s="11"/>
      <c r="B181" s="306" t="s">
        <v>429</v>
      </c>
      <c r="C181" s="128">
        <f>SUM(D181:G181)</f>
        <v>0</v>
      </c>
      <c r="D181" s="127">
        <f>'2B-Investitie'!D35</f>
        <v>0</v>
      </c>
      <c r="E181" s="127">
        <f>'2B-Investitie'!E35</f>
        <v>0</v>
      </c>
      <c r="F181" s="127">
        <f>'2B-Investitie'!F35</f>
        <v>0</v>
      </c>
      <c r="G181" s="127">
        <f>'2B-Investitie'!G35</f>
        <v>0</v>
      </c>
    </row>
    <row r="182" spans="1:10" s="149" customFormat="1" ht="13.2" customHeight="1" x14ac:dyDescent="0.3">
      <c r="A182" s="12"/>
      <c r="B182" s="14" t="s">
        <v>454</v>
      </c>
      <c r="C182" s="128">
        <f>SUM(D182:G182)</f>
        <v>0</v>
      </c>
      <c r="D182" s="128">
        <f>D180</f>
        <v>0</v>
      </c>
      <c r="E182" s="128">
        <f>E180</f>
        <v>0</v>
      </c>
      <c r="F182" s="128">
        <f>F180</f>
        <v>0</v>
      </c>
      <c r="G182" s="128">
        <f>G180</f>
        <v>0</v>
      </c>
    </row>
    <row r="183" spans="1:10" s="92" customFormat="1" ht="14.4" customHeight="1" x14ac:dyDescent="0.3">
      <c r="A183" s="25"/>
      <c r="B183" s="311" t="s">
        <v>455</v>
      </c>
      <c r="C183" s="128">
        <f>SUM(D183:G183)</f>
        <v>434974.61</v>
      </c>
      <c r="D183" s="128">
        <f>D178-D182</f>
        <v>434974.61</v>
      </c>
      <c r="E183" s="128">
        <f>E178-E182</f>
        <v>0</v>
      </c>
      <c r="F183" s="128">
        <f>F178-F182</f>
        <v>0</v>
      </c>
      <c r="G183" s="128">
        <f>G178-G182</f>
        <v>0</v>
      </c>
    </row>
    <row r="184" spans="1:10" s="92" customFormat="1" ht="14.4" customHeight="1" x14ac:dyDescent="0.3">
      <c r="A184" s="10"/>
      <c r="B184" s="142"/>
      <c r="C184" s="129"/>
      <c r="D184" s="129"/>
      <c r="E184" s="129"/>
      <c r="F184" s="129"/>
      <c r="G184" s="129"/>
    </row>
    <row r="185" spans="1:10" s="149" customFormat="1" ht="27.75" customHeight="1" x14ac:dyDescent="0.3">
      <c r="A185" s="366" t="str">
        <f>A127</f>
        <v>ACTIVITATEA DE INVESTITII (inclusiv  reinvestirile din perioada post implementare)</v>
      </c>
      <c r="B185" s="337"/>
      <c r="C185" s="305" t="s">
        <v>286</v>
      </c>
      <c r="D185" s="266" t="s">
        <v>361</v>
      </c>
      <c r="E185" s="305" t="s">
        <v>362</v>
      </c>
      <c r="F185" s="305" t="s">
        <v>363</v>
      </c>
      <c r="G185" s="305" t="s">
        <v>364</v>
      </c>
    </row>
    <row r="186" spans="1:10" s="93" customFormat="1" x14ac:dyDescent="0.3">
      <c r="A186" s="11">
        <v>23</v>
      </c>
      <c r="B186" s="8" t="s">
        <v>433</v>
      </c>
      <c r="C186" s="128">
        <f>SUM(D186:G186)</f>
        <v>434974.61</v>
      </c>
      <c r="D186" s="127">
        <f t="shared" ref="D186:G188" si="8">D128</f>
        <v>434974.61</v>
      </c>
      <c r="E186" s="127">
        <f t="shared" si="8"/>
        <v>0</v>
      </c>
      <c r="F186" s="127">
        <f t="shared" si="8"/>
        <v>0</v>
      </c>
      <c r="G186" s="127">
        <f t="shared" si="8"/>
        <v>0</v>
      </c>
    </row>
    <row r="187" spans="1:10" s="93" customFormat="1" x14ac:dyDescent="0.3">
      <c r="A187" s="11">
        <v>24</v>
      </c>
      <c r="B187" s="8" t="s">
        <v>434</v>
      </c>
      <c r="C187" s="128">
        <f>SUM(D187:G187)</f>
        <v>0</v>
      </c>
      <c r="D187" s="127">
        <f t="shared" si="8"/>
        <v>0</v>
      </c>
      <c r="E187" s="127">
        <f t="shared" si="8"/>
        <v>0</v>
      </c>
      <c r="F187" s="127">
        <f t="shared" si="8"/>
        <v>0</v>
      </c>
      <c r="G187" s="127">
        <f t="shared" si="8"/>
        <v>0</v>
      </c>
    </row>
    <row r="188" spans="1:10" s="93" customFormat="1" x14ac:dyDescent="0.3">
      <c r="A188" s="11">
        <v>25</v>
      </c>
      <c r="B188" s="8" t="s">
        <v>435</v>
      </c>
      <c r="C188" s="128">
        <f>SUM(D188:G188)</f>
        <v>0</v>
      </c>
      <c r="D188" s="127">
        <f t="shared" si="8"/>
        <v>0</v>
      </c>
      <c r="E188" s="127">
        <f t="shared" si="8"/>
        <v>0</v>
      </c>
      <c r="F188" s="127">
        <f t="shared" si="8"/>
        <v>0</v>
      </c>
      <c r="G188" s="127">
        <f t="shared" si="8"/>
        <v>0</v>
      </c>
    </row>
    <row r="189" spans="1:10" s="149" customFormat="1" ht="13.2" customHeight="1" x14ac:dyDescent="0.3">
      <c r="A189" s="12"/>
      <c r="B189" s="14" t="s">
        <v>436</v>
      </c>
      <c r="C189" s="128">
        <f>SUM(D189:G189)</f>
        <v>434974.61</v>
      </c>
      <c r="D189" s="128">
        <f>SUM(D186:D188)</f>
        <v>434974.61</v>
      </c>
      <c r="E189" s="128">
        <f>SUM(E186:E188)</f>
        <v>0</v>
      </c>
      <c r="F189" s="128">
        <f>SUM(F186:F188)</f>
        <v>0</v>
      </c>
      <c r="G189" s="128">
        <f>SUM(G186:G188)</f>
        <v>0</v>
      </c>
    </row>
    <row r="190" spans="1:10" s="92" customFormat="1" ht="14.4" customHeight="1" x14ac:dyDescent="0.3">
      <c r="A190" s="25"/>
      <c r="B190" s="311" t="s">
        <v>437</v>
      </c>
      <c r="C190" s="128">
        <f>SUM(D190:G190)</f>
        <v>-434974.61</v>
      </c>
      <c r="D190" s="128">
        <f>-D189</f>
        <v>-434974.61</v>
      </c>
      <c r="E190" s="128">
        <f>-E189</f>
        <v>0</v>
      </c>
      <c r="F190" s="128">
        <f>-F189</f>
        <v>0</v>
      </c>
      <c r="G190" s="128">
        <f>-G189</f>
        <v>0</v>
      </c>
    </row>
    <row r="191" spans="1:10" s="92" customFormat="1" ht="14.4" customHeight="1" x14ac:dyDescent="0.3">
      <c r="A191" s="365" t="s">
        <v>438</v>
      </c>
      <c r="B191" s="329"/>
      <c r="C191" s="305" t="s">
        <v>286</v>
      </c>
      <c r="D191" s="305" t="s">
        <v>362</v>
      </c>
      <c r="E191" s="305" t="s">
        <v>363</v>
      </c>
      <c r="F191" s="305" t="s">
        <v>364</v>
      </c>
      <c r="G191" s="305" t="s">
        <v>456</v>
      </c>
    </row>
    <row r="192" spans="1:10" s="92" customFormat="1" ht="15" customHeight="1" x14ac:dyDescent="0.3">
      <c r="A192" s="352"/>
      <c r="B192" s="353"/>
      <c r="C192" s="128">
        <f>SUM(D192:G192)</f>
        <v>0</v>
      </c>
      <c r="D192" s="128">
        <f>D183+D190</f>
        <v>0</v>
      </c>
      <c r="E192" s="128">
        <f>E183+E190</f>
        <v>0</v>
      </c>
      <c r="F192" s="128">
        <f>F183+F190</f>
        <v>0</v>
      </c>
      <c r="G192" s="128">
        <f>G183+G190</f>
        <v>0</v>
      </c>
    </row>
    <row r="193" spans="1:7" s="92" customFormat="1" ht="14.4" customHeight="1" x14ac:dyDescent="0.3">
      <c r="A193" s="142"/>
      <c r="B193" s="142"/>
      <c r="C193" s="129"/>
      <c r="D193" s="129"/>
      <c r="E193" s="129"/>
      <c r="F193" s="129"/>
      <c r="G193" s="129"/>
    </row>
    <row r="194" spans="1:7" s="92" customFormat="1" ht="14.4" customHeight="1" x14ac:dyDescent="0.3">
      <c r="A194" s="365" t="s">
        <v>457</v>
      </c>
      <c r="B194" s="329"/>
      <c r="C194" s="305" t="s">
        <v>286</v>
      </c>
      <c r="D194" s="305" t="s">
        <v>362</v>
      </c>
      <c r="E194" s="305" t="s">
        <v>363</v>
      </c>
      <c r="F194" s="305" t="s">
        <v>364</v>
      </c>
      <c r="G194" s="305" t="s">
        <v>456</v>
      </c>
    </row>
    <row r="195" spans="1:7" s="92" customFormat="1" ht="14.4" customHeight="1" x14ac:dyDescent="0.3">
      <c r="A195" s="352"/>
      <c r="B195" s="353"/>
      <c r="C195" s="128">
        <f>SUM(D195:G195)</f>
        <v>381573.987413758</v>
      </c>
      <c r="D195" s="128">
        <f>D171+D192</f>
        <v>0</v>
      </c>
      <c r="E195" s="128">
        <f>E171+E192</f>
        <v>72269.991786359984</v>
      </c>
      <c r="F195" s="128">
        <f>F171+F192</f>
        <v>141298.24321631953</v>
      </c>
      <c r="G195" s="128">
        <f>G171+G192</f>
        <v>168005.75241107849</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G15" sqref="G15"/>
    </sheetView>
  </sheetViews>
  <sheetFormatPr defaultColWidth="9.109375" defaultRowHeight="13.8" x14ac:dyDescent="0.3"/>
  <cols>
    <col min="1" max="1" width="32.33203125" style="244" customWidth="1"/>
    <col min="2" max="2" width="10.5546875" style="205" customWidth="1"/>
    <col min="3" max="3" width="12.33203125" style="13" customWidth="1"/>
    <col min="4" max="12" width="10.5546875" style="205" customWidth="1"/>
    <col min="13" max="13" width="9.109375" style="246" customWidth="1"/>
    <col min="14" max="14" width="9.109375" style="270" customWidth="1"/>
    <col min="15" max="16384" width="9.109375" style="270"/>
  </cols>
  <sheetData>
    <row r="1" spans="1:13" x14ac:dyDescent="0.3">
      <c r="A1" s="346" t="s">
        <v>458</v>
      </c>
      <c r="B1" s="317"/>
      <c r="C1" s="317"/>
      <c r="D1" s="317"/>
      <c r="E1" s="317"/>
      <c r="F1" s="317"/>
      <c r="G1" s="204"/>
      <c r="H1" s="204"/>
      <c r="I1" s="204"/>
      <c r="J1" s="204"/>
      <c r="K1" s="204"/>
    </row>
    <row r="2" spans="1:13" x14ac:dyDescent="0.3">
      <c r="A2" s="386" t="s">
        <v>459</v>
      </c>
      <c r="B2" s="317"/>
      <c r="C2" s="317"/>
      <c r="D2" s="317"/>
      <c r="E2" s="317"/>
      <c r="F2" s="317"/>
      <c r="G2" s="317"/>
      <c r="H2" s="317"/>
      <c r="I2" s="317"/>
      <c r="J2" s="317"/>
      <c r="K2" s="317"/>
    </row>
    <row r="3" spans="1:13" x14ac:dyDescent="0.3">
      <c r="A3" s="308"/>
      <c r="B3" s="308"/>
      <c r="C3" s="308"/>
      <c r="D3" s="308"/>
      <c r="E3" s="308"/>
      <c r="F3" s="308"/>
      <c r="G3" s="308"/>
      <c r="H3" s="308"/>
      <c r="I3" s="308"/>
      <c r="J3" s="308"/>
      <c r="K3" s="308"/>
    </row>
    <row r="4" spans="1:13" ht="24" customHeight="1" x14ac:dyDescent="0.3">
      <c r="A4" s="257" t="s">
        <v>460</v>
      </c>
      <c r="B4" s="258" t="s">
        <v>461</v>
      </c>
      <c r="C4" s="308"/>
      <c r="D4" s="308"/>
      <c r="E4" s="308"/>
      <c r="F4" s="308"/>
      <c r="G4" s="308"/>
      <c r="H4" s="308"/>
      <c r="I4" s="308"/>
      <c r="J4" s="308"/>
      <c r="K4" s="308"/>
    </row>
    <row r="5" spans="1:13" x14ac:dyDescent="0.3">
      <c r="C5" s="252"/>
    </row>
    <row r="6" spans="1:13" x14ac:dyDescent="0.3">
      <c r="A6" s="206" t="s">
        <v>462</v>
      </c>
      <c r="B6" s="207">
        <v>0.04</v>
      </c>
      <c r="C6" s="390" t="s">
        <v>463</v>
      </c>
      <c r="D6" s="326"/>
      <c r="E6" s="326"/>
      <c r="F6" s="337"/>
      <c r="G6" s="246"/>
      <c r="H6" s="270"/>
      <c r="I6" s="270"/>
      <c r="J6" s="270"/>
      <c r="K6" s="270"/>
      <c r="L6" s="270"/>
      <c r="M6" s="270"/>
    </row>
    <row r="7" spans="1:13" s="68" customFormat="1" x14ac:dyDescent="0.3">
      <c r="A7" s="242"/>
      <c r="B7" s="17" t="s">
        <v>286</v>
      </c>
      <c r="C7" s="17">
        <v>1</v>
      </c>
      <c r="D7" s="17">
        <v>2</v>
      </c>
      <c r="E7" s="17">
        <v>3</v>
      </c>
      <c r="F7" s="17">
        <v>4</v>
      </c>
      <c r="G7" s="51"/>
    </row>
    <row r="8" spans="1:13" s="210" customFormat="1" ht="14.4" customHeight="1" x14ac:dyDescent="0.3">
      <c r="A8" s="208" t="s">
        <v>464</v>
      </c>
      <c r="B8" s="127">
        <f t="shared" ref="B8:B17" si="0">SUM(C8:F8)</f>
        <v>495986.27452919725</v>
      </c>
      <c r="C8" s="211">
        <f>'3A-Proiectii_fin_investitie'!D149</f>
        <v>0</v>
      </c>
      <c r="D8" s="211">
        <f>'3A-Proiectii_fin_investitie'!E149</f>
        <v>89023.177479599603</v>
      </c>
      <c r="E8" s="211">
        <f>'3A-Proiectii_fin_investitie'!F149</f>
        <v>182285.55388679914</v>
      </c>
      <c r="F8" s="211">
        <f>'3A-Proiectii_fin_investitie'!G149</f>
        <v>224677.54316279851</v>
      </c>
      <c r="G8" s="209"/>
    </row>
    <row r="9" spans="1:13" s="210" customFormat="1" ht="14.4" customHeight="1" x14ac:dyDescent="0.3">
      <c r="A9" s="208" t="s">
        <v>465</v>
      </c>
      <c r="B9" s="127">
        <f t="shared" si="0"/>
        <v>0</v>
      </c>
      <c r="C9" s="211"/>
      <c r="D9" s="211"/>
      <c r="E9" s="211"/>
      <c r="F9" s="211">
        <v>0</v>
      </c>
      <c r="G9" s="209"/>
    </row>
    <row r="10" spans="1:13" s="215" customFormat="1" ht="14.4" customHeight="1" x14ac:dyDescent="0.3">
      <c r="A10" s="212" t="s">
        <v>466</v>
      </c>
      <c r="B10" s="128">
        <f t="shared" si="0"/>
        <v>495986.27452919725</v>
      </c>
      <c r="C10" s="213">
        <f>SUM(C8:C9)</f>
        <v>0</v>
      </c>
      <c r="D10" s="213">
        <f>SUM(D8:D9)</f>
        <v>89023.177479599603</v>
      </c>
      <c r="E10" s="213">
        <f>SUM(E8:E9)</f>
        <v>182285.55388679914</v>
      </c>
      <c r="F10" s="213">
        <f>SUM(F8:F9)</f>
        <v>224677.54316279851</v>
      </c>
      <c r="G10" s="214"/>
    </row>
    <row r="11" spans="1:13" s="210" customFormat="1" ht="14.4" customHeight="1" x14ac:dyDescent="0.3">
      <c r="A11" s="208" t="s">
        <v>467</v>
      </c>
      <c r="B11" s="127">
        <f t="shared" si="0"/>
        <v>47257.634049599423</v>
      </c>
      <c r="C11" s="127">
        <f>'3A-Proiectii_fin_investitie'!D165-'3A-Proiectii_fin_investitie'!D164</f>
        <v>0</v>
      </c>
      <c r="D11" s="127">
        <f>'3A-Proiectii_fin_investitie'!E165-'3A-Proiectii_fin_investitie'!E164</f>
        <v>7876.2723415995933</v>
      </c>
      <c r="E11" s="127">
        <f>'3A-Proiectii_fin_investitie'!F165-'3A-Proiectii_fin_investitie'!F164</f>
        <v>15752.544683199652</v>
      </c>
      <c r="F11" s="127">
        <f>'3A-Proiectii_fin_investitie'!G165-'3A-Proiectii_fin_investitie'!G164</f>
        <v>23628.817024800177</v>
      </c>
      <c r="G11" s="209"/>
    </row>
    <row r="12" spans="1:13" s="210" customFormat="1" ht="14.4" customHeight="1" x14ac:dyDescent="0.3">
      <c r="A12" s="208" t="s">
        <v>468</v>
      </c>
      <c r="B12" s="127">
        <f t="shared" si="0"/>
        <v>434974.61</v>
      </c>
      <c r="C12" s="127">
        <f>'3A-Proiectii_fin_investitie'!D189</f>
        <v>434974.61</v>
      </c>
      <c r="D12" s="127">
        <f>'3A-Proiectii_fin_investitie'!E189</f>
        <v>0</v>
      </c>
      <c r="E12" s="127">
        <f>'3A-Proiectii_fin_investitie'!F189</f>
        <v>0</v>
      </c>
      <c r="F12" s="127">
        <f>'3A-Proiectii_fin_investitie'!G189</f>
        <v>0</v>
      </c>
      <c r="G12" s="209"/>
    </row>
    <row r="13" spans="1:13" s="210" customFormat="1" ht="14.4" customHeight="1" x14ac:dyDescent="0.3">
      <c r="A13" s="208" t="s">
        <v>469</v>
      </c>
      <c r="B13" s="127">
        <f t="shared" si="0"/>
        <v>15211.201939599807</v>
      </c>
      <c r="C13" s="127">
        <f>IF($B$4="NU",-'2B-Investitie'!E25+'3A-Proiectii_fin_investitie'!D167-'3A-Proiectii_fin_investitie'!D168,0)</f>
        <v>-67166.539999999994</v>
      </c>
      <c r="D13" s="127">
        <f>IF($B$4="NU",-'2B-Investitie'!F25+'3A-Proiectii_fin_investitie'!E167-'3A-Proiectii_fin_investitie'!E168,0)</f>
        <v>14744.893987999996</v>
      </c>
      <c r="E13" s="127">
        <f>IF($B$4="NU",-'2B-Investitie'!G25+'3A-Proiectii_fin_investitie'!F167-'3A-Proiectii_fin_investitie'!F168,0)</f>
        <v>30166.63486359996</v>
      </c>
      <c r="F13" s="127">
        <f>IF($B$4="NU",-'2B-Investitie'!H25+'3A-Proiectii_fin_investitie'!G167-'3A-Proiectii_fin_investitie'!G168,0)</f>
        <v>37466.213087999844</v>
      </c>
      <c r="G13" s="209"/>
    </row>
    <row r="14" spans="1:13" s="215" customFormat="1" ht="14.4" customHeight="1" x14ac:dyDescent="0.3">
      <c r="A14" s="212" t="s">
        <v>470</v>
      </c>
      <c r="B14" s="128">
        <f t="shared" si="0"/>
        <v>497443.44598919922</v>
      </c>
      <c r="C14" s="128">
        <f>SUM(C11:C13)</f>
        <v>367808.07</v>
      </c>
      <c r="D14" s="128">
        <f>SUM(D11:D13)</f>
        <v>22621.16632959959</v>
      </c>
      <c r="E14" s="128">
        <f>SUM(E11:E13)</f>
        <v>45919.179546799613</v>
      </c>
      <c r="F14" s="128">
        <f>SUM(F11:F13)</f>
        <v>61095.030112800021</v>
      </c>
      <c r="G14" s="214"/>
    </row>
    <row r="15" spans="1:13" s="215" customFormat="1" ht="14.4" customHeight="1" x14ac:dyDescent="0.3">
      <c r="A15" s="212" t="s">
        <v>471</v>
      </c>
      <c r="B15" s="128">
        <f t="shared" si="0"/>
        <v>-1457.1714600020205</v>
      </c>
      <c r="C15" s="128">
        <f>C10-C14</f>
        <v>-367808.07</v>
      </c>
      <c r="D15" s="128">
        <f>D10-D14</f>
        <v>66402.011150000006</v>
      </c>
      <c r="E15" s="128">
        <f>E10-E14</f>
        <v>136366.37433999951</v>
      </c>
      <c r="F15" s="128">
        <f>F10-F14</f>
        <v>163582.5130499985</v>
      </c>
      <c r="G15" s="214"/>
    </row>
    <row r="16" spans="1:13" s="217" customFormat="1" ht="14.4" customHeight="1" x14ac:dyDescent="0.3">
      <c r="A16" s="212" t="s">
        <v>472</v>
      </c>
      <c r="B16" s="128">
        <f t="shared" si="0"/>
        <v>-31208.985835896339</v>
      </c>
      <c r="C16" s="128">
        <f>C15*POWER(1+$B$6,-C7)</f>
        <v>-353661.60576923075</v>
      </c>
      <c r="D16" s="128">
        <f>D15*POWER(1+$B$6,-D7)</f>
        <v>61392.391965606505</v>
      </c>
      <c r="E16" s="128">
        <f>E15*POWER(1+$B$6,-E7)</f>
        <v>121229.21023341444</v>
      </c>
      <c r="F16" s="128">
        <f>F15*POWER(1+$B$6,-F7)</f>
        <v>139831.0177343135</v>
      </c>
      <c r="G16" s="216"/>
    </row>
    <row r="17" spans="1:13" s="215" customFormat="1" ht="14.4" customHeight="1" x14ac:dyDescent="0.3">
      <c r="A17" s="212" t="s">
        <v>473</v>
      </c>
      <c r="B17" s="128">
        <f t="shared" si="0"/>
        <v>353661.60576923075</v>
      </c>
      <c r="C17" s="128">
        <f>IF($B$4="NU",(C12-'2B-Investitie'!E25)*POWER(1+$B$6,-C7),C12*POWER(1+$B$6,-C7))</f>
        <v>353661.60576923075</v>
      </c>
      <c r="D17" s="128">
        <f>IF($B$4="NU",(D12-'2B-Investitie'!F25)*POWER(1+$B$6,-D7),D12*POWER(1+$B$6,-D7))</f>
        <v>0</v>
      </c>
      <c r="E17" s="128">
        <f>IF($B$4="NU",(E12-'2B-Investitie'!G25)*POWER(1+$B$6,-E7),E12*POWER(1+$B$6,-E7))</f>
        <v>0</v>
      </c>
      <c r="F17" s="128">
        <f>IF($B$4="NU",(F12-'2B-Investitie'!H25)*POWER(1+$B$6,-F7),F12*POWER(1+$B$6,-F7))</f>
        <v>0</v>
      </c>
      <c r="G17" s="214"/>
    </row>
    <row r="18" spans="1:13" s="221" customFormat="1" ht="15.6" customHeight="1" x14ac:dyDescent="0.3">
      <c r="A18" s="218" t="s">
        <v>474</v>
      </c>
      <c r="B18" s="164">
        <f>SUM(C16:F16)</f>
        <v>-31208.985835896339</v>
      </c>
      <c r="C18" s="219"/>
      <c r="D18" s="239"/>
      <c r="E18" s="220"/>
      <c r="F18" s="220"/>
      <c r="G18" s="220"/>
      <c r="H18" s="220"/>
      <c r="I18" s="220"/>
      <c r="J18" s="220"/>
      <c r="K18" s="220"/>
      <c r="L18" s="220"/>
      <c r="M18" s="214"/>
    </row>
    <row r="19" spans="1:13" s="221" customFormat="1" ht="15.6" customHeight="1" x14ac:dyDescent="0.3">
      <c r="A19" s="212" t="s">
        <v>475</v>
      </c>
      <c r="B19" s="222">
        <f>IFERROR(IRR(C15:F15),"")</f>
        <v>-1.750483003594816E-3</v>
      </c>
      <c r="C19" s="261">
        <f>(IRR(C15:F15))</f>
        <v>-1.750483003594816E-3</v>
      </c>
      <c r="D19" s="239"/>
      <c r="E19" s="220"/>
      <c r="F19" s="220"/>
      <c r="G19" s="220"/>
      <c r="H19" s="220"/>
      <c r="I19" s="220"/>
      <c r="J19" s="220"/>
      <c r="K19" s="220"/>
      <c r="L19" s="220"/>
      <c r="M19" s="214"/>
    </row>
    <row r="20" spans="1:13" x14ac:dyDescent="0.3">
      <c r="A20" s="223"/>
      <c r="B20" s="224"/>
      <c r="C20" s="224"/>
      <c r="D20" s="224"/>
      <c r="E20" s="224"/>
    </row>
    <row r="22" spans="1:13" s="94" customFormat="1" ht="64.5" customHeight="1" x14ac:dyDescent="0.3">
      <c r="A22" s="388" t="s">
        <v>476</v>
      </c>
      <c r="B22" s="389"/>
      <c r="C22" s="389"/>
      <c r="D22" s="389"/>
      <c r="E22" s="389"/>
      <c r="F22" s="389"/>
      <c r="G22" s="389"/>
      <c r="H22" s="389"/>
      <c r="I22" s="389"/>
      <c r="J22" s="389"/>
      <c r="K22" s="389"/>
      <c r="L22" s="389"/>
      <c r="M22" s="246"/>
    </row>
    <row r="23" spans="1:13" s="94" customFormat="1" x14ac:dyDescent="0.3">
      <c r="A23" s="95"/>
      <c r="B23" s="96"/>
      <c r="C23" s="96"/>
      <c r="D23" s="96"/>
      <c r="E23" s="96"/>
      <c r="F23" s="96"/>
      <c r="G23" s="96"/>
      <c r="H23" s="96"/>
      <c r="I23" s="96"/>
      <c r="J23" s="96"/>
      <c r="K23" s="97"/>
      <c r="L23" s="97"/>
      <c r="M23" s="246"/>
    </row>
    <row r="24" spans="1:13" s="94" customFormat="1" ht="36" customHeight="1" x14ac:dyDescent="0.3">
      <c r="A24" s="307" t="s">
        <v>477</v>
      </c>
      <c r="B24" s="174" t="s">
        <v>478</v>
      </c>
      <c r="C24" s="174" t="s">
        <v>479</v>
      </c>
      <c r="D24" s="174" t="s">
        <v>480</v>
      </c>
      <c r="E24" s="174" t="s">
        <v>481</v>
      </c>
      <c r="G24" s="96"/>
      <c r="H24" s="96"/>
      <c r="I24" s="96"/>
      <c r="J24" s="96"/>
      <c r="K24" s="97"/>
      <c r="L24" s="97"/>
      <c r="M24" s="246"/>
    </row>
    <row r="25" spans="1:13" s="94" customFormat="1" x14ac:dyDescent="0.3">
      <c r="A25" s="157" t="s">
        <v>482</v>
      </c>
      <c r="B25" s="151">
        <v>712256</v>
      </c>
      <c r="C25" s="152">
        <f t="shared" ref="C25:C55" si="1">B25/$B$56</f>
        <v>1</v>
      </c>
      <c r="D25" s="151">
        <v>12</v>
      </c>
      <c r="E25" s="153">
        <f t="shared" ref="E25:E55" si="2">ROUND(C25*D25,0)</f>
        <v>12</v>
      </c>
      <c r="G25" s="96"/>
      <c r="H25" s="96"/>
      <c r="I25" s="96"/>
      <c r="J25" s="96"/>
      <c r="K25" s="97"/>
      <c r="L25" s="97"/>
      <c r="M25" s="246"/>
    </row>
    <row r="26" spans="1:13" s="94" customFormat="1" x14ac:dyDescent="0.3">
      <c r="A26" s="157" t="s">
        <v>482</v>
      </c>
      <c r="B26" s="151">
        <v>0</v>
      </c>
      <c r="C26" s="152">
        <f t="shared" si="1"/>
        <v>0</v>
      </c>
      <c r="D26" s="151">
        <v>0</v>
      </c>
      <c r="E26" s="153">
        <f t="shared" si="2"/>
        <v>0</v>
      </c>
      <c r="G26" s="96"/>
      <c r="H26" s="96"/>
      <c r="I26" s="96"/>
      <c r="J26" s="96"/>
      <c r="K26" s="97"/>
      <c r="L26" s="97"/>
      <c r="M26" s="246"/>
    </row>
    <row r="27" spans="1:13" s="94" customFormat="1" x14ac:dyDescent="0.3">
      <c r="A27" s="157" t="s">
        <v>482</v>
      </c>
      <c r="B27" s="151">
        <v>0</v>
      </c>
      <c r="C27" s="152">
        <f t="shared" si="1"/>
        <v>0</v>
      </c>
      <c r="D27" s="151">
        <v>0</v>
      </c>
      <c r="E27" s="153">
        <f t="shared" si="2"/>
        <v>0</v>
      </c>
      <c r="G27" s="96"/>
      <c r="H27" s="96"/>
      <c r="I27" s="96"/>
      <c r="J27" s="96"/>
      <c r="K27" s="97"/>
      <c r="L27" s="97"/>
      <c r="M27" s="246"/>
    </row>
    <row r="28" spans="1:13" s="94" customFormat="1" x14ac:dyDescent="0.3">
      <c r="A28" s="157" t="s">
        <v>482</v>
      </c>
      <c r="B28" s="151">
        <v>0</v>
      </c>
      <c r="C28" s="152">
        <f t="shared" si="1"/>
        <v>0</v>
      </c>
      <c r="D28" s="151">
        <v>0</v>
      </c>
      <c r="E28" s="153">
        <f t="shared" si="2"/>
        <v>0</v>
      </c>
      <c r="G28" s="96"/>
      <c r="H28" s="96"/>
      <c r="I28" s="96"/>
      <c r="J28" s="96"/>
      <c r="K28" s="97"/>
      <c r="L28" s="97"/>
      <c r="M28" s="246"/>
    </row>
    <row r="29" spans="1:13" s="94" customFormat="1" x14ac:dyDescent="0.3">
      <c r="A29" s="157" t="s">
        <v>482</v>
      </c>
      <c r="B29" s="151">
        <v>0</v>
      </c>
      <c r="C29" s="152">
        <f t="shared" si="1"/>
        <v>0</v>
      </c>
      <c r="D29" s="151">
        <v>0</v>
      </c>
      <c r="E29" s="153">
        <f t="shared" si="2"/>
        <v>0</v>
      </c>
      <c r="G29" s="96"/>
      <c r="H29" s="96"/>
      <c r="I29" s="96"/>
      <c r="J29" s="96"/>
      <c r="K29" s="97"/>
      <c r="L29" s="97"/>
      <c r="M29" s="246"/>
    </row>
    <row r="30" spans="1:13" s="94" customFormat="1" x14ac:dyDescent="0.3">
      <c r="A30" s="157" t="s">
        <v>482</v>
      </c>
      <c r="B30" s="151">
        <v>0</v>
      </c>
      <c r="C30" s="152">
        <f t="shared" si="1"/>
        <v>0</v>
      </c>
      <c r="D30" s="151">
        <v>0</v>
      </c>
      <c r="E30" s="153">
        <f t="shared" si="2"/>
        <v>0</v>
      </c>
      <c r="G30" s="96"/>
      <c r="H30" s="96"/>
      <c r="I30" s="96"/>
      <c r="J30" s="96"/>
      <c r="K30" s="97"/>
      <c r="L30" s="97"/>
      <c r="M30" s="246"/>
    </row>
    <row r="31" spans="1:13" s="94" customFormat="1" x14ac:dyDescent="0.3">
      <c r="A31" s="157" t="s">
        <v>482</v>
      </c>
      <c r="B31" s="151">
        <v>0</v>
      </c>
      <c r="C31" s="152">
        <f t="shared" si="1"/>
        <v>0</v>
      </c>
      <c r="D31" s="151">
        <v>0</v>
      </c>
      <c r="E31" s="153">
        <f t="shared" si="2"/>
        <v>0</v>
      </c>
      <c r="G31" s="96"/>
      <c r="H31" s="96"/>
      <c r="I31" s="96"/>
      <c r="J31" s="96"/>
      <c r="K31" s="97"/>
      <c r="L31" s="97"/>
      <c r="M31" s="246"/>
    </row>
    <row r="32" spans="1:13" s="94" customFormat="1" x14ac:dyDescent="0.3">
      <c r="A32" s="157" t="s">
        <v>482</v>
      </c>
      <c r="B32" s="151">
        <v>0</v>
      </c>
      <c r="C32" s="152">
        <f t="shared" si="1"/>
        <v>0</v>
      </c>
      <c r="D32" s="151">
        <v>0</v>
      </c>
      <c r="E32" s="153">
        <f t="shared" si="2"/>
        <v>0</v>
      </c>
      <c r="G32" s="96"/>
      <c r="H32" s="96"/>
      <c r="I32" s="96"/>
      <c r="J32" s="96"/>
      <c r="K32" s="97"/>
      <c r="L32" s="97"/>
      <c r="M32" s="246"/>
    </row>
    <row r="33" spans="1:13" s="94" customFormat="1" x14ac:dyDescent="0.3">
      <c r="A33" s="157" t="s">
        <v>482</v>
      </c>
      <c r="B33" s="151">
        <v>0</v>
      </c>
      <c r="C33" s="152">
        <f t="shared" si="1"/>
        <v>0</v>
      </c>
      <c r="D33" s="151">
        <v>0</v>
      </c>
      <c r="E33" s="153">
        <f t="shared" si="2"/>
        <v>0</v>
      </c>
      <c r="G33" s="96"/>
      <c r="H33" s="96"/>
      <c r="I33" s="96"/>
      <c r="J33" s="96"/>
      <c r="K33" s="97"/>
      <c r="L33" s="97"/>
      <c r="M33" s="246"/>
    </row>
    <row r="34" spans="1:13" s="94" customFormat="1" x14ac:dyDescent="0.3">
      <c r="A34" s="157" t="s">
        <v>482</v>
      </c>
      <c r="B34" s="151">
        <v>0</v>
      </c>
      <c r="C34" s="152">
        <f t="shared" si="1"/>
        <v>0</v>
      </c>
      <c r="D34" s="151">
        <v>0</v>
      </c>
      <c r="E34" s="153">
        <f t="shared" si="2"/>
        <v>0</v>
      </c>
      <c r="G34" s="96"/>
      <c r="H34" s="96"/>
      <c r="I34" s="96"/>
      <c r="J34" s="96"/>
      <c r="K34" s="97"/>
      <c r="L34" s="97"/>
      <c r="M34" s="246"/>
    </row>
    <row r="35" spans="1:13" s="94" customFormat="1" x14ac:dyDescent="0.3">
      <c r="A35" s="157" t="s">
        <v>482</v>
      </c>
      <c r="B35" s="151">
        <v>0</v>
      </c>
      <c r="C35" s="152">
        <f t="shared" si="1"/>
        <v>0</v>
      </c>
      <c r="D35" s="151">
        <v>0</v>
      </c>
      <c r="E35" s="153">
        <f t="shared" si="2"/>
        <v>0</v>
      </c>
      <c r="G35" s="96"/>
      <c r="H35" s="96"/>
      <c r="I35" s="96"/>
      <c r="J35" s="96"/>
      <c r="K35" s="97"/>
      <c r="L35" s="97"/>
      <c r="M35" s="246"/>
    </row>
    <row r="36" spans="1:13" s="94" customFormat="1" x14ac:dyDescent="0.3">
      <c r="A36" s="157" t="s">
        <v>482</v>
      </c>
      <c r="B36" s="151">
        <v>0</v>
      </c>
      <c r="C36" s="152">
        <f t="shared" si="1"/>
        <v>0</v>
      </c>
      <c r="D36" s="151">
        <v>0</v>
      </c>
      <c r="E36" s="153">
        <f t="shared" si="2"/>
        <v>0</v>
      </c>
      <c r="G36" s="96"/>
      <c r="H36" s="96"/>
      <c r="I36" s="96"/>
      <c r="J36" s="96"/>
      <c r="K36" s="97"/>
      <c r="L36" s="97"/>
      <c r="M36" s="246"/>
    </row>
    <row r="37" spans="1:13" s="94" customFormat="1" x14ac:dyDescent="0.3">
      <c r="A37" s="157" t="s">
        <v>482</v>
      </c>
      <c r="B37" s="151">
        <v>0</v>
      </c>
      <c r="C37" s="152">
        <f t="shared" si="1"/>
        <v>0</v>
      </c>
      <c r="D37" s="151">
        <v>0</v>
      </c>
      <c r="E37" s="153">
        <f t="shared" si="2"/>
        <v>0</v>
      </c>
      <c r="G37" s="96"/>
      <c r="H37" s="96"/>
      <c r="I37" s="96"/>
      <c r="J37" s="96"/>
      <c r="K37" s="97"/>
      <c r="L37" s="97"/>
      <c r="M37" s="246"/>
    </row>
    <row r="38" spans="1:13" s="94" customFormat="1" x14ac:dyDescent="0.3">
      <c r="A38" s="157" t="s">
        <v>482</v>
      </c>
      <c r="B38" s="151">
        <v>0</v>
      </c>
      <c r="C38" s="152">
        <f t="shared" si="1"/>
        <v>0</v>
      </c>
      <c r="D38" s="151">
        <v>0</v>
      </c>
      <c r="E38" s="153">
        <f t="shared" si="2"/>
        <v>0</v>
      </c>
      <c r="G38" s="96"/>
      <c r="H38" s="96"/>
      <c r="I38" s="96"/>
      <c r="J38" s="96"/>
      <c r="K38" s="97"/>
      <c r="L38" s="97"/>
      <c r="M38" s="246"/>
    </row>
    <row r="39" spans="1:13" s="94" customFormat="1" x14ac:dyDescent="0.3">
      <c r="A39" s="157" t="s">
        <v>482</v>
      </c>
      <c r="B39" s="151">
        <v>0</v>
      </c>
      <c r="C39" s="152">
        <f t="shared" si="1"/>
        <v>0</v>
      </c>
      <c r="D39" s="151">
        <v>0</v>
      </c>
      <c r="E39" s="153">
        <f t="shared" si="2"/>
        <v>0</v>
      </c>
      <c r="G39" s="96"/>
      <c r="H39" s="96"/>
      <c r="I39" s="96"/>
      <c r="J39" s="96"/>
      <c r="K39" s="97"/>
      <c r="L39" s="97"/>
      <c r="M39" s="246"/>
    </row>
    <row r="40" spans="1:13" s="94" customFormat="1" x14ac:dyDescent="0.3">
      <c r="A40" s="157" t="s">
        <v>482</v>
      </c>
      <c r="B40" s="151">
        <v>0</v>
      </c>
      <c r="C40" s="152">
        <f t="shared" si="1"/>
        <v>0</v>
      </c>
      <c r="D40" s="151">
        <v>0</v>
      </c>
      <c r="E40" s="153">
        <f t="shared" si="2"/>
        <v>0</v>
      </c>
      <c r="G40" s="96"/>
      <c r="H40" s="96"/>
      <c r="I40" s="96"/>
      <c r="J40" s="96"/>
      <c r="K40" s="97"/>
      <c r="L40" s="97"/>
      <c r="M40" s="246"/>
    </row>
    <row r="41" spans="1:13" s="94" customFormat="1" x14ac:dyDescent="0.3">
      <c r="A41" s="157" t="s">
        <v>482</v>
      </c>
      <c r="B41" s="151">
        <v>0</v>
      </c>
      <c r="C41" s="152">
        <f t="shared" si="1"/>
        <v>0</v>
      </c>
      <c r="D41" s="151">
        <v>0</v>
      </c>
      <c r="E41" s="153">
        <f t="shared" si="2"/>
        <v>0</v>
      </c>
      <c r="G41" s="96"/>
      <c r="H41" s="96"/>
      <c r="I41" s="96"/>
      <c r="J41" s="96"/>
      <c r="K41" s="97"/>
      <c r="L41" s="97"/>
      <c r="M41" s="246"/>
    </row>
    <row r="42" spans="1:13" s="94" customFormat="1" x14ac:dyDescent="0.3">
      <c r="A42" s="157" t="s">
        <v>482</v>
      </c>
      <c r="B42" s="151">
        <v>0</v>
      </c>
      <c r="C42" s="152">
        <f t="shared" si="1"/>
        <v>0</v>
      </c>
      <c r="D42" s="151">
        <v>0</v>
      </c>
      <c r="E42" s="153">
        <f t="shared" si="2"/>
        <v>0</v>
      </c>
      <c r="G42" s="96"/>
      <c r="H42" s="96"/>
      <c r="I42" s="96"/>
      <c r="J42" s="96"/>
      <c r="K42" s="97"/>
      <c r="L42" s="97"/>
      <c r="M42" s="246"/>
    </row>
    <row r="43" spans="1:13" s="94" customFormat="1" x14ac:dyDescent="0.3">
      <c r="A43" s="157" t="s">
        <v>482</v>
      </c>
      <c r="B43" s="151">
        <v>0</v>
      </c>
      <c r="C43" s="152">
        <f t="shared" si="1"/>
        <v>0</v>
      </c>
      <c r="D43" s="151">
        <v>0</v>
      </c>
      <c r="E43" s="153">
        <f t="shared" si="2"/>
        <v>0</v>
      </c>
      <c r="G43" s="96"/>
      <c r="H43" s="96"/>
      <c r="I43" s="96"/>
      <c r="J43" s="96"/>
      <c r="K43" s="97"/>
      <c r="L43" s="97"/>
      <c r="M43" s="246"/>
    </row>
    <row r="44" spans="1:13" s="94" customFormat="1" x14ac:dyDescent="0.3">
      <c r="A44" s="157" t="s">
        <v>482</v>
      </c>
      <c r="B44" s="151">
        <v>0</v>
      </c>
      <c r="C44" s="152">
        <f t="shared" si="1"/>
        <v>0</v>
      </c>
      <c r="D44" s="151">
        <v>0</v>
      </c>
      <c r="E44" s="153">
        <f t="shared" si="2"/>
        <v>0</v>
      </c>
      <c r="G44" s="96"/>
      <c r="H44" s="96"/>
      <c r="I44" s="96"/>
      <c r="J44" s="96"/>
      <c r="K44" s="97"/>
      <c r="L44" s="97"/>
      <c r="M44" s="246"/>
    </row>
    <row r="45" spans="1:13" s="94" customFormat="1" x14ac:dyDescent="0.3">
      <c r="A45" s="157" t="s">
        <v>482</v>
      </c>
      <c r="B45" s="151">
        <v>0</v>
      </c>
      <c r="C45" s="152">
        <f t="shared" si="1"/>
        <v>0</v>
      </c>
      <c r="D45" s="151">
        <v>0</v>
      </c>
      <c r="E45" s="153">
        <f t="shared" si="2"/>
        <v>0</v>
      </c>
      <c r="G45" s="96"/>
      <c r="H45" s="96"/>
      <c r="I45" s="96"/>
      <c r="J45" s="96"/>
      <c r="K45" s="97"/>
      <c r="L45" s="97"/>
      <c r="M45" s="246"/>
    </row>
    <row r="46" spans="1:13" s="94" customFormat="1" x14ac:dyDescent="0.3">
      <c r="A46" s="157" t="s">
        <v>482</v>
      </c>
      <c r="B46" s="151">
        <v>0</v>
      </c>
      <c r="C46" s="152">
        <f t="shared" si="1"/>
        <v>0</v>
      </c>
      <c r="D46" s="151">
        <v>0</v>
      </c>
      <c r="E46" s="153">
        <f t="shared" si="2"/>
        <v>0</v>
      </c>
      <c r="G46" s="96"/>
      <c r="H46" s="96"/>
      <c r="I46" s="96"/>
      <c r="J46" s="96"/>
      <c r="K46" s="97"/>
      <c r="L46" s="97"/>
      <c r="M46" s="246"/>
    </row>
    <row r="47" spans="1:13" s="94" customFormat="1" x14ac:dyDescent="0.3">
      <c r="A47" s="157" t="s">
        <v>482</v>
      </c>
      <c r="B47" s="151">
        <v>0</v>
      </c>
      <c r="C47" s="152">
        <f t="shared" si="1"/>
        <v>0</v>
      </c>
      <c r="D47" s="151">
        <v>0</v>
      </c>
      <c r="E47" s="153">
        <f t="shared" si="2"/>
        <v>0</v>
      </c>
      <c r="G47" s="96"/>
      <c r="H47" s="96"/>
      <c r="I47" s="96"/>
      <c r="J47" s="96"/>
      <c r="K47" s="97"/>
      <c r="L47" s="97"/>
      <c r="M47" s="246"/>
    </row>
    <row r="48" spans="1:13" s="94" customFormat="1" x14ac:dyDescent="0.3">
      <c r="A48" s="157" t="s">
        <v>482</v>
      </c>
      <c r="B48" s="151">
        <v>0</v>
      </c>
      <c r="C48" s="152">
        <f t="shared" si="1"/>
        <v>0</v>
      </c>
      <c r="D48" s="151">
        <v>0</v>
      </c>
      <c r="E48" s="153">
        <f t="shared" si="2"/>
        <v>0</v>
      </c>
      <c r="G48" s="96"/>
      <c r="H48" s="96"/>
      <c r="I48" s="96"/>
      <c r="J48" s="96"/>
      <c r="K48" s="97"/>
      <c r="L48" s="97"/>
      <c r="M48" s="246"/>
    </row>
    <row r="49" spans="1:13" s="94" customFormat="1" x14ac:dyDescent="0.3">
      <c r="A49" s="157" t="s">
        <v>482</v>
      </c>
      <c r="B49" s="151">
        <v>0</v>
      </c>
      <c r="C49" s="152">
        <f t="shared" si="1"/>
        <v>0</v>
      </c>
      <c r="D49" s="151">
        <v>0</v>
      </c>
      <c r="E49" s="153">
        <f t="shared" si="2"/>
        <v>0</v>
      </c>
      <c r="G49" s="96"/>
      <c r="H49" s="96"/>
      <c r="I49" s="96"/>
      <c r="J49" s="96"/>
      <c r="K49" s="97"/>
      <c r="L49" s="97"/>
      <c r="M49" s="246"/>
    </row>
    <row r="50" spans="1:13" s="94" customFormat="1" x14ac:dyDescent="0.3">
      <c r="A50" s="157" t="s">
        <v>482</v>
      </c>
      <c r="B50" s="151">
        <v>0</v>
      </c>
      <c r="C50" s="152">
        <f t="shared" si="1"/>
        <v>0</v>
      </c>
      <c r="D50" s="151">
        <v>0</v>
      </c>
      <c r="E50" s="153">
        <f t="shared" si="2"/>
        <v>0</v>
      </c>
      <c r="G50" s="96"/>
      <c r="H50" s="96"/>
      <c r="I50" s="96"/>
      <c r="J50" s="96"/>
      <c r="K50" s="97"/>
      <c r="L50" s="97"/>
      <c r="M50" s="246"/>
    </row>
    <row r="51" spans="1:13" s="94" customFormat="1" x14ac:dyDescent="0.3">
      <c r="A51" s="157" t="s">
        <v>482</v>
      </c>
      <c r="B51" s="151">
        <v>0</v>
      </c>
      <c r="C51" s="152">
        <f t="shared" si="1"/>
        <v>0</v>
      </c>
      <c r="D51" s="151">
        <v>0</v>
      </c>
      <c r="E51" s="153">
        <f t="shared" si="2"/>
        <v>0</v>
      </c>
      <c r="G51" s="96"/>
      <c r="H51" s="96"/>
      <c r="I51" s="96"/>
      <c r="J51" s="96"/>
      <c r="K51" s="97"/>
      <c r="L51" s="97"/>
      <c r="M51" s="246"/>
    </row>
    <row r="52" spans="1:13" s="94" customFormat="1" x14ac:dyDescent="0.3">
      <c r="A52" s="157" t="s">
        <v>482</v>
      </c>
      <c r="B52" s="151">
        <v>0</v>
      </c>
      <c r="C52" s="152">
        <f t="shared" si="1"/>
        <v>0</v>
      </c>
      <c r="D52" s="151">
        <v>0</v>
      </c>
      <c r="E52" s="153">
        <f t="shared" si="2"/>
        <v>0</v>
      </c>
      <c r="G52" s="96"/>
      <c r="H52" s="96"/>
      <c r="I52" s="96"/>
      <c r="J52" s="96"/>
      <c r="K52" s="97"/>
      <c r="L52" s="97"/>
      <c r="M52" s="246"/>
    </row>
    <row r="53" spans="1:13" s="94" customFormat="1" x14ac:dyDescent="0.3">
      <c r="A53" s="157" t="s">
        <v>482</v>
      </c>
      <c r="B53" s="151">
        <v>0</v>
      </c>
      <c r="C53" s="152">
        <f t="shared" si="1"/>
        <v>0</v>
      </c>
      <c r="D53" s="151">
        <v>0</v>
      </c>
      <c r="E53" s="153">
        <f t="shared" si="2"/>
        <v>0</v>
      </c>
      <c r="G53" s="96"/>
      <c r="H53" s="96"/>
      <c r="I53" s="96"/>
      <c r="J53" s="96"/>
      <c r="K53" s="97"/>
      <c r="L53" s="97"/>
      <c r="M53" s="246"/>
    </row>
    <row r="54" spans="1:13" s="94" customFormat="1" x14ac:dyDescent="0.3">
      <c r="A54" s="157" t="s">
        <v>482</v>
      </c>
      <c r="B54" s="151">
        <v>0</v>
      </c>
      <c r="C54" s="152">
        <f t="shared" si="1"/>
        <v>0</v>
      </c>
      <c r="D54" s="151">
        <v>0</v>
      </c>
      <c r="E54" s="153">
        <f t="shared" si="2"/>
        <v>0</v>
      </c>
      <c r="G54" s="96"/>
      <c r="H54" s="96"/>
      <c r="I54" s="96"/>
      <c r="J54" s="96"/>
      <c r="K54" s="97"/>
      <c r="L54" s="97"/>
      <c r="M54" s="246"/>
    </row>
    <row r="55" spans="1:13" s="94" customFormat="1" x14ac:dyDescent="0.3">
      <c r="A55" s="157" t="s">
        <v>482</v>
      </c>
      <c r="B55" s="151">
        <v>0</v>
      </c>
      <c r="C55" s="152">
        <f t="shared" si="1"/>
        <v>0</v>
      </c>
      <c r="D55" s="151">
        <v>0</v>
      </c>
      <c r="E55" s="153">
        <f t="shared" si="2"/>
        <v>0</v>
      </c>
      <c r="G55" s="96"/>
      <c r="H55" s="96"/>
      <c r="I55" s="96"/>
      <c r="J55" s="96"/>
      <c r="K55" s="97"/>
      <c r="L55" s="97"/>
      <c r="M55" s="246"/>
    </row>
    <row r="56" spans="1:13" s="94" customFormat="1" x14ac:dyDescent="0.3">
      <c r="A56" s="154" t="s">
        <v>306</v>
      </c>
      <c r="B56" s="155">
        <f>SUM(B25:B55)</f>
        <v>712256</v>
      </c>
      <c r="C56" s="156">
        <f>SUM(C25:C55)</f>
        <v>1</v>
      </c>
      <c r="D56" s="155"/>
      <c r="E56" s="155">
        <f>SUM(E25:E55)</f>
        <v>12</v>
      </c>
      <c r="G56" s="204"/>
      <c r="H56" s="204"/>
      <c r="I56" s="204"/>
      <c r="J56" s="204"/>
      <c r="K56" s="205"/>
      <c r="L56" s="205"/>
      <c r="M56" s="246"/>
    </row>
    <row r="57" spans="1:13" s="94" customFormat="1" x14ac:dyDescent="0.3">
      <c r="A57" s="95"/>
      <c r="B57" s="204"/>
      <c r="C57" s="204"/>
      <c r="D57" s="204"/>
      <c r="E57" s="204"/>
      <c r="F57" s="204"/>
      <c r="G57" s="204"/>
      <c r="H57" s="204"/>
      <c r="I57" s="204"/>
      <c r="J57" s="204"/>
      <c r="K57" s="205"/>
      <c r="L57" s="205"/>
      <c r="M57" s="246"/>
    </row>
    <row r="58" spans="1:13" s="94" customFormat="1" ht="12" customHeight="1" x14ac:dyDescent="0.3">
      <c r="A58" s="309"/>
      <c r="B58" s="98"/>
      <c r="C58" s="98"/>
      <c r="D58" s="98"/>
      <c r="E58" s="98"/>
      <c r="F58" s="98"/>
      <c r="G58" s="98"/>
      <c r="H58" s="98"/>
      <c r="I58" s="98"/>
      <c r="J58" s="98"/>
      <c r="K58" s="98"/>
      <c r="L58" s="245"/>
    </row>
    <row r="59" spans="1:13" s="94" customFormat="1" ht="12" customHeight="1" x14ac:dyDescent="0.3">
      <c r="A59" s="385" t="s">
        <v>483</v>
      </c>
      <c r="B59" s="390" t="s">
        <v>463</v>
      </c>
      <c r="C59" s="326"/>
      <c r="D59" s="326"/>
      <c r="E59" s="337"/>
      <c r="F59" s="245"/>
    </row>
    <row r="60" spans="1:13" s="94" customFormat="1" ht="12" customHeight="1" x14ac:dyDescent="0.3">
      <c r="A60" s="348"/>
      <c r="B60" s="310">
        <v>1</v>
      </c>
      <c r="C60" s="310">
        <f>B60+1</f>
        <v>2</v>
      </c>
      <c r="D60" s="310">
        <f>C60+1</f>
        <v>3</v>
      </c>
      <c r="E60" s="310">
        <f>D60+1</f>
        <v>4</v>
      </c>
      <c r="F60" s="245"/>
    </row>
    <row r="61" spans="1:13" s="94" customFormat="1" ht="12" customHeight="1" x14ac:dyDescent="0.3">
      <c r="A61" s="161" t="s">
        <v>471</v>
      </c>
      <c r="B61" s="159">
        <f>C15</f>
        <v>-367808.07</v>
      </c>
      <c r="C61" s="159">
        <f>D15</f>
        <v>66402.011150000006</v>
      </c>
      <c r="D61" s="159">
        <f>E15</f>
        <v>136366.37433999951</v>
      </c>
      <c r="E61" s="159">
        <f>F15</f>
        <v>163582.5130499985</v>
      </c>
      <c r="F61" s="245"/>
    </row>
    <row r="62" spans="1:13" s="94" customFormat="1" x14ac:dyDescent="0.3">
      <c r="A62" s="161" t="s">
        <v>484</v>
      </c>
      <c r="B62" s="159"/>
      <c r="C62" s="159"/>
      <c r="D62" s="159"/>
      <c r="E62" s="159">
        <f>IF(F8-F14&gt;0,NPV(4%,B69:K69,B73:K73,B77:K77,B81:K81,B85:G85),0)</f>
        <v>1101359.326368884</v>
      </c>
      <c r="F62" s="204"/>
      <c r="G62" s="99"/>
      <c r="H62" s="246"/>
    </row>
    <row r="63" spans="1:13" s="94" customFormat="1" x14ac:dyDescent="0.3">
      <c r="A63" s="154" t="s">
        <v>485</v>
      </c>
      <c r="B63" s="155">
        <f>SUM(B61:B62)</f>
        <v>-367808.07</v>
      </c>
      <c r="C63" s="155">
        <f>SUM(C61:C62)</f>
        <v>66402.011150000006</v>
      </c>
      <c r="D63" s="155">
        <f>SUM(D61:D62)</f>
        <v>136366.37433999951</v>
      </c>
      <c r="E63" s="155">
        <f>SUM(E61:E62)</f>
        <v>1264941.8394188825</v>
      </c>
      <c r="F63" s="100"/>
      <c r="G63" s="101"/>
      <c r="H63" s="246"/>
    </row>
    <row r="66" spans="1:26" s="225" customFormat="1" ht="13.2" customHeight="1" x14ac:dyDescent="0.3">
      <c r="A66" s="244"/>
      <c r="B66" s="158">
        <f>IF($E$56-$E$60&gt;0,$E$56-$E$60,0)</f>
        <v>8</v>
      </c>
      <c r="C66" s="387" t="s">
        <v>486</v>
      </c>
      <c r="D66" s="328"/>
      <c r="E66" s="328"/>
      <c r="F66" s="329"/>
      <c r="G66" s="245"/>
      <c r="H66" s="245"/>
      <c r="I66" s="245"/>
      <c r="J66" s="245"/>
      <c r="K66" s="245"/>
      <c r="L66" s="245"/>
      <c r="M66" s="94"/>
      <c r="N66" s="94"/>
      <c r="O66" s="94"/>
      <c r="P66" s="94"/>
      <c r="Q66" s="94"/>
      <c r="R66" s="94"/>
      <c r="S66" s="94"/>
      <c r="T66" s="94"/>
      <c r="U66" s="94"/>
      <c r="V66" s="94"/>
      <c r="W66" s="94"/>
      <c r="X66" s="94"/>
      <c r="Y66" s="94"/>
      <c r="Z66" s="94"/>
    </row>
    <row r="67" spans="1:26" s="225" customFormat="1" ht="13.2" customHeight="1" x14ac:dyDescent="0.3">
      <c r="A67" s="244"/>
      <c r="B67" s="268" t="s">
        <v>487</v>
      </c>
      <c r="C67" s="268"/>
      <c r="D67" s="268"/>
      <c r="E67" s="268"/>
      <c r="F67" s="268"/>
      <c r="G67" s="268"/>
      <c r="H67" s="268"/>
      <c r="I67" s="268"/>
      <c r="J67" s="268"/>
      <c r="K67" s="268"/>
      <c r="L67" s="245"/>
    </row>
    <row r="68" spans="1:26" s="225" customFormat="1" ht="13.2" customHeight="1" x14ac:dyDescent="0.3">
      <c r="A68" s="160" t="s">
        <v>488</v>
      </c>
      <c r="B68" s="310">
        <f>IF(B66&gt;0,1,0)</f>
        <v>1</v>
      </c>
      <c r="C68" s="310">
        <f t="shared" ref="C68:K68" si="3">IF(B68&gt;0,IF(AND(0&lt;B68,B68&lt;$B$66),B68+1,0),0)</f>
        <v>2</v>
      </c>
      <c r="D68" s="262">
        <f t="shared" si="3"/>
        <v>3</v>
      </c>
      <c r="E68" s="262">
        <f t="shared" si="3"/>
        <v>4</v>
      </c>
      <c r="F68" s="262">
        <f t="shared" si="3"/>
        <v>5</v>
      </c>
      <c r="G68" s="262">
        <f t="shared" si="3"/>
        <v>6</v>
      </c>
      <c r="H68" s="262">
        <f t="shared" si="3"/>
        <v>7</v>
      </c>
      <c r="I68" s="262">
        <f t="shared" si="3"/>
        <v>8</v>
      </c>
      <c r="J68" s="262">
        <f t="shared" si="3"/>
        <v>0</v>
      </c>
      <c r="K68" s="262">
        <f t="shared" si="3"/>
        <v>0</v>
      </c>
      <c r="L68" s="245"/>
    </row>
    <row r="69" spans="1:26" s="225" customFormat="1" ht="13.2" customHeight="1" x14ac:dyDescent="0.3">
      <c r="A69" s="160" t="s">
        <v>471</v>
      </c>
      <c r="B69" s="159">
        <f t="shared" ref="B69:K69" si="4">N(AND(B68&gt;0,$E$61&gt;0)*$E$61)</f>
        <v>163582.5130499985</v>
      </c>
      <c r="C69" s="159">
        <f t="shared" si="4"/>
        <v>163582.5130499985</v>
      </c>
      <c r="D69" s="159">
        <f t="shared" si="4"/>
        <v>163582.5130499985</v>
      </c>
      <c r="E69" s="159">
        <f t="shared" si="4"/>
        <v>163582.5130499985</v>
      </c>
      <c r="F69" s="159">
        <f t="shared" si="4"/>
        <v>163582.5130499985</v>
      </c>
      <c r="G69" s="159">
        <f t="shared" si="4"/>
        <v>163582.5130499985</v>
      </c>
      <c r="H69" s="159">
        <f t="shared" si="4"/>
        <v>163582.5130499985</v>
      </c>
      <c r="I69" s="159">
        <f t="shared" si="4"/>
        <v>163582.5130499985</v>
      </c>
      <c r="J69" s="159">
        <f t="shared" si="4"/>
        <v>0</v>
      </c>
      <c r="K69" s="159">
        <f t="shared" si="4"/>
        <v>0</v>
      </c>
      <c r="L69" s="245"/>
    </row>
    <row r="70" spans="1:26" s="225" customFormat="1" x14ac:dyDescent="0.3">
      <c r="A70" s="226"/>
      <c r="B70" s="205"/>
      <c r="C70" s="13"/>
      <c r="D70" s="205"/>
      <c r="E70" s="205"/>
      <c r="F70" s="205"/>
      <c r="G70" s="205"/>
      <c r="H70" s="205"/>
      <c r="I70" s="205"/>
      <c r="J70" s="205"/>
      <c r="K70" s="205"/>
      <c r="L70" s="205"/>
      <c r="M70" s="246"/>
    </row>
    <row r="71" spans="1:26" s="225" customFormat="1" ht="13.2" customHeight="1" x14ac:dyDescent="0.3">
      <c r="A71" s="226"/>
      <c r="B71" s="384" t="s">
        <v>489</v>
      </c>
      <c r="C71" s="326"/>
      <c r="D71" s="326"/>
      <c r="E71" s="337"/>
      <c r="F71" s="268"/>
      <c r="G71" s="268"/>
      <c r="H71" s="268"/>
      <c r="I71" s="268"/>
      <c r="J71" s="268"/>
      <c r="K71" s="268"/>
      <c r="L71" s="245"/>
    </row>
    <row r="72" spans="1:26" s="225" customFormat="1" ht="13.2" customHeight="1" x14ac:dyDescent="0.3">
      <c r="A72" s="160" t="s">
        <v>488</v>
      </c>
      <c r="B72" s="262">
        <f>IF(K68&gt;0,IF(AND(0&lt;K68,K68&lt;$B$66),K68+1,0),0)</f>
        <v>0</v>
      </c>
      <c r="C72" s="262">
        <f t="shared" ref="C72:K72" si="5">IF(B72&gt;0,IF(AND(0&lt;B72,B72&lt;$B$66),B72+1,0),0)</f>
        <v>0</v>
      </c>
      <c r="D72" s="262">
        <f t="shared" si="5"/>
        <v>0</v>
      </c>
      <c r="E72" s="262">
        <f t="shared" si="5"/>
        <v>0</v>
      </c>
      <c r="F72" s="262">
        <f t="shared" si="5"/>
        <v>0</v>
      </c>
      <c r="G72" s="262">
        <f t="shared" si="5"/>
        <v>0</v>
      </c>
      <c r="H72" s="262">
        <f t="shared" si="5"/>
        <v>0</v>
      </c>
      <c r="I72" s="262">
        <f t="shared" si="5"/>
        <v>0</v>
      </c>
      <c r="J72" s="262">
        <f t="shared" si="5"/>
        <v>0</v>
      </c>
      <c r="K72" s="262">
        <f t="shared" si="5"/>
        <v>0</v>
      </c>
      <c r="L72" s="245"/>
    </row>
    <row r="73" spans="1:26" s="225" customFormat="1" ht="13.2" customHeight="1" x14ac:dyDescent="0.3">
      <c r="A73" s="160" t="s">
        <v>471</v>
      </c>
      <c r="B73" s="159">
        <f t="shared" ref="B73:K73" si="6">N(AND(B72&gt;0,$E$61&gt;0)*$E$61)</f>
        <v>0</v>
      </c>
      <c r="C73" s="159">
        <f t="shared" si="6"/>
        <v>0</v>
      </c>
      <c r="D73" s="159">
        <f t="shared" si="6"/>
        <v>0</v>
      </c>
      <c r="E73" s="159">
        <f t="shared" si="6"/>
        <v>0</v>
      </c>
      <c r="F73" s="159">
        <f t="shared" si="6"/>
        <v>0</v>
      </c>
      <c r="G73" s="159">
        <f t="shared" si="6"/>
        <v>0</v>
      </c>
      <c r="H73" s="159">
        <f t="shared" si="6"/>
        <v>0</v>
      </c>
      <c r="I73" s="159">
        <f t="shared" si="6"/>
        <v>0</v>
      </c>
      <c r="J73" s="159">
        <f t="shared" si="6"/>
        <v>0</v>
      </c>
      <c r="K73" s="159">
        <f t="shared" si="6"/>
        <v>0</v>
      </c>
      <c r="L73" s="245"/>
    </row>
    <row r="74" spans="1:26" s="225" customFormat="1" x14ac:dyDescent="0.3">
      <c r="A74" s="226"/>
      <c r="B74" s="205"/>
      <c r="C74" s="13"/>
      <c r="D74" s="205"/>
      <c r="E74" s="205"/>
      <c r="F74" s="205"/>
      <c r="G74" s="205"/>
      <c r="H74" s="205"/>
      <c r="I74" s="205"/>
      <c r="J74" s="205"/>
      <c r="K74" s="205"/>
      <c r="L74" s="205"/>
      <c r="M74" s="246"/>
    </row>
    <row r="75" spans="1:26" s="225" customFormat="1" x14ac:dyDescent="0.3">
      <c r="A75" s="226"/>
      <c r="B75" s="384" t="s">
        <v>489</v>
      </c>
      <c r="C75" s="326"/>
      <c r="D75" s="326"/>
      <c r="E75" s="337"/>
      <c r="F75" s="268"/>
      <c r="G75" s="268"/>
      <c r="H75" s="268"/>
      <c r="I75" s="268"/>
      <c r="J75" s="268"/>
      <c r="K75" s="268"/>
      <c r="L75" s="205"/>
      <c r="M75" s="246"/>
    </row>
    <row r="76" spans="1:26" s="225" customFormat="1" ht="13.2" customHeight="1" x14ac:dyDescent="0.3">
      <c r="A76" s="160" t="s">
        <v>488</v>
      </c>
      <c r="B76" s="262">
        <f>IF(K72&gt;0,IF(AND(0&lt;K72,K72&lt;$B$66),K72+1,0),0)</f>
        <v>0</v>
      </c>
      <c r="C76" s="262">
        <f t="shared" ref="C76:K76" si="7">IF(B76&gt;0,IF(AND(0&lt;B76,B76&lt;$B$66),B76+1,0),0)</f>
        <v>0</v>
      </c>
      <c r="D76" s="262">
        <f t="shared" si="7"/>
        <v>0</v>
      </c>
      <c r="E76" s="262">
        <f t="shared" si="7"/>
        <v>0</v>
      </c>
      <c r="F76" s="262">
        <f t="shared" si="7"/>
        <v>0</v>
      </c>
      <c r="G76" s="262">
        <f t="shared" si="7"/>
        <v>0</v>
      </c>
      <c r="H76" s="262">
        <f t="shared" si="7"/>
        <v>0</v>
      </c>
      <c r="I76" s="262">
        <f t="shared" si="7"/>
        <v>0</v>
      </c>
      <c r="J76" s="262">
        <f t="shared" si="7"/>
        <v>0</v>
      </c>
      <c r="K76" s="262">
        <f t="shared" si="7"/>
        <v>0</v>
      </c>
      <c r="L76" s="245"/>
    </row>
    <row r="77" spans="1:26" s="225" customFormat="1" ht="13.2" customHeight="1" x14ac:dyDescent="0.3">
      <c r="A77" s="160" t="s">
        <v>471</v>
      </c>
      <c r="B77" s="159">
        <f t="shared" ref="B77:K77" si="8">N(AND(B76&gt;0,$E$61&gt;0)*$E$61)</f>
        <v>0</v>
      </c>
      <c r="C77" s="159">
        <f t="shared" si="8"/>
        <v>0</v>
      </c>
      <c r="D77" s="159">
        <f t="shared" si="8"/>
        <v>0</v>
      </c>
      <c r="E77" s="159">
        <f t="shared" si="8"/>
        <v>0</v>
      </c>
      <c r="F77" s="159">
        <f t="shared" si="8"/>
        <v>0</v>
      </c>
      <c r="G77" s="159">
        <f t="shared" si="8"/>
        <v>0</v>
      </c>
      <c r="H77" s="159">
        <f t="shared" si="8"/>
        <v>0</v>
      </c>
      <c r="I77" s="159">
        <f t="shared" si="8"/>
        <v>0</v>
      </c>
      <c r="J77" s="159">
        <f t="shared" si="8"/>
        <v>0</v>
      </c>
      <c r="K77" s="159">
        <f t="shared" si="8"/>
        <v>0</v>
      </c>
      <c r="L77" s="245"/>
    </row>
    <row r="78" spans="1:26" s="225" customFormat="1" x14ac:dyDescent="0.3">
      <c r="A78" s="226"/>
      <c r="B78" s="205"/>
      <c r="C78" s="13"/>
      <c r="D78" s="205"/>
      <c r="E78" s="205"/>
      <c r="F78" s="205"/>
      <c r="G78" s="205"/>
      <c r="H78" s="205"/>
      <c r="I78" s="205"/>
      <c r="J78" s="205"/>
      <c r="K78" s="205"/>
      <c r="L78" s="205"/>
      <c r="M78" s="246"/>
    </row>
    <row r="79" spans="1:26" s="225" customFormat="1" x14ac:dyDescent="0.3">
      <c r="A79" s="226"/>
      <c r="B79" s="384" t="s">
        <v>489</v>
      </c>
      <c r="C79" s="326"/>
      <c r="D79" s="326"/>
      <c r="E79" s="337"/>
      <c r="F79" s="268"/>
      <c r="G79" s="268"/>
      <c r="H79" s="268"/>
      <c r="I79" s="268"/>
      <c r="J79" s="268"/>
      <c r="K79" s="268"/>
      <c r="L79" s="205"/>
      <c r="M79" s="246"/>
    </row>
    <row r="80" spans="1:26" s="225" customFormat="1" x14ac:dyDescent="0.3">
      <c r="A80" s="160" t="s">
        <v>488</v>
      </c>
      <c r="B80" s="262">
        <f>IF(K76&gt;0,IF(AND(0&lt;K76,K76&lt;$B$66),K76+1,0),0)</f>
        <v>0</v>
      </c>
      <c r="C80" s="262">
        <f t="shared" ref="C80:K80" si="9">IF(B80&gt;0,IF(AND(0&lt;B80,B80&lt;$B$66),B80+1,0),0)</f>
        <v>0</v>
      </c>
      <c r="D80" s="262">
        <f t="shared" si="9"/>
        <v>0</v>
      </c>
      <c r="E80" s="262">
        <f t="shared" si="9"/>
        <v>0</v>
      </c>
      <c r="F80" s="262">
        <f t="shared" si="9"/>
        <v>0</v>
      </c>
      <c r="G80" s="262">
        <f t="shared" si="9"/>
        <v>0</v>
      </c>
      <c r="H80" s="262">
        <f t="shared" si="9"/>
        <v>0</v>
      </c>
      <c r="I80" s="262">
        <f t="shared" si="9"/>
        <v>0</v>
      </c>
      <c r="J80" s="262">
        <f t="shared" si="9"/>
        <v>0</v>
      </c>
      <c r="K80" s="262">
        <f t="shared" si="9"/>
        <v>0</v>
      </c>
      <c r="L80" s="205"/>
      <c r="M80" s="246"/>
    </row>
    <row r="81" spans="1:13" s="225" customFormat="1" x14ac:dyDescent="0.3">
      <c r="A81" s="160" t="s">
        <v>471</v>
      </c>
      <c r="B81" s="159">
        <f t="shared" ref="B81:K81" si="10">N(AND(B80&gt;0,$E$61&gt;0)*$E$61)</f>
        <v>0</v>
      </c>
      <c r="C81" s="159">
        <f t="shared" si="10"/>
        <v>0</v>
      </c>
      <c r="D81" s="159">
        <f t="shared" si="10"/>
        <v>0</v>
      </c>
      <c r="E81" s="159">
        <f t="shared" si="10"/>
        <v>0</v>
      </c>
      <c r="F81" s="159">
        <f t="shared" si="10"/>
        <v>0</v>
      </c>
      <c r="G81" s="159">
        <f t="shared" si="10"/>
        <v>0</v>
      </c>
      <c r="H81" s="159">
        <f t="shared" si="10"/>
        <v>0</v>
      </c>
      <c r="I81" s="159">
        <f t="shared" si="10"/>
        <v>0</v>
      </c>
      <c r="J81" s="159">
        <f t="shared" si="10"/>
        <v>0</v>
      </c>
      <c r="K81" s="159">
        <f t="shared" si="10"/>
        <v>0</v>
      </c>
      <c r="L81" s="205"/>
      <c r="M81" s="246"/>
    </row>
    <row r="82" spans="1:13" s="225" customFormat="1" x14ac:dyDescent="0.3">
      <c r="A82" s="244"/>
      <c r="B82" s="205"/>
      <c r="C82" s="13"/>
      <c r="D82" s="205"/>
      <c r="E82" s="205"/>
      <c r="F82" s="205"/>
      <c r="G82" s="205"/>
      <c r="H82" s="205"/>
      <c r="I82" s="205"/>
      <c r="J82" s="205"/>
      <c r="K82" s="205"/>
      <c r="L82" s="205"/>
      <c r="M82" s="246"/>
    </row>
    <row r="83" spans="1:13" s="225" customFormat="1" x14ac:dyDescent="0.3">
      <c r="A83" s="226"/>
      <c r="B83" s="384" t="s">
        <v>489</v>
      </c>
      <c r="C83" s="326"/>
      <c r="D83" s="326"/>
      <c r="E83" s="337"/>
      <c r="F83" s="268"/>
      <c r="G83" s="268"/>
      <c r="H83" s="205"/>
      <c r="I83" s="205"/>
      <c r="J83" s="205"/>
      <c r="K83" s="205"/>
      <c r="L83" s="205"/>
      <c r="M83" s="246"/>
    </row>
    <row r="84" spans="1:13" s="225" customFormat="1" x14ac:dyDescent="0.3">
      <c r="A84" s="160" t="s">
        <v>488</v>
      </c>
      <c r="B84" s="262">
        <f>IF(K80&gt;0,IF(AND(0&lt;K80,K80&lt;$B$66),K80+1,0),0)</f>
        <v>0</v>
      </c>
      <c r="C84" s="262">
        <f>IF(B84&gt;0,IF(AND(0&lt;B84,B84&lt;$B$66),B84+1,0),0)</f>
        <v>0</v>
      </c>
      <c r="D84" s="262">
        <f>IF(C84&gt;0,IF(AND(0&lt;C84,C84&lt;$B$66),C84+1,0),0)</f>
        <v>0</v>
      </c>
      <c r="E84" s="262">
        <f>IF(D84&gt;0,IF(AND(0&lt;D84,D84&lt;$B$66),D84+1,0),0)</f>
        <v>0</v>
      </c>
      <c r="F84" s="262">
        <f>IF(E84&gt;0,IF(AND(0&lt;E84,E84&lt;$B$66),E84+1,0),0)</f>
        <v>0</v>
      </c>
      <c r="G84" s="262">
        <f>IF(F84&gt;0,IF(AND(0&lt;F84,F84&lt;$B$66),F84+1,0),0)</f>
        <v>0</v>
      </c>
      <c r="H84" s="205"/>
      <c r="I84" s="205"/>
      <c r="J84" s="205"/>
      <c r="K84" s="205"/>
      <c r="L84" s="205"/>
      <c r="M84" s="246"/>
    </row>
    <row r="85" spans="1:13" s="225" customFormat="1" x14ac:dyDescent="0.3">
      <c r="A85" s="160" t="s">
        <v>471</v>
      </c>
      <c r="B85" s="159">
        <f t="shared" ref="B85:G85" si="11">N(AND(B84&gt;0,$E$61&gt;0)*$E$61)</f>
        <v>0</v>
      </c>
      <c r="C85" s="159">
        <f t="shared" si="11"/>
        <v>0</v>
      </c>
      <c r="D85" s="159">
        <f t="shared" si="11"/>
        <v>0</v>
      </c>
      <c r="E85" s="159">
        <f t="shared" si="11"/>
        <v>0</v>
      </c>
      <c r="F85" s="159">
        <f t="shared" si="11"/>
        <v>0</v>
      </c>
      <c r="G85" s="159">
        <f t="shared" si="11"/>
        <v>0</v>
      </c>
      <c r="H85" s="205"/>
      <c r="I85" s="205"/>
      <c r="J85" s="205"/>
      <c r="K85" s="205"/>
      <c r="L85" s="205"/>
      <c r="M85" s="246"/>
    </row>
    <row r="86" spans="1:13" s="225" customFormat="1" x14ac:dyDescent="0.3">
      <c r="A86" s="244"/>
      <c r="B86" s="205"/>
      <c r="C86" s="13"/>
      <c r="D86" s="205"/>
      <c r="E86" s="205"/>
      <c r="F86" s="205"/>
      <c r="G86" s="205"/>
      <c r="H86" s="205"/>
      <c r="I86" s="205"/>
      <c r="J86" s="205"/>
      <c r="K86" s="205"/>
      <c r="L86" s="205"/>
      <c r="M86" s="246"/>
    </row>
    <row r="87" spans="1:13" s="225" customFormat="1" x14ac:dyDescent="0.3">
      <c r="A87" s="244"/>
      <c r="B87" s="205"/>
      <c r="C87" s="13"/>
      <c r="D87" s="205"/>
      <c r="E87" s="205"/>
      <c r="F87" s="205"/>
      <c r="G87" s="205"/>
      <c r="H87" s="205"/>
      <c r="I87" s="205"/>
      <c r="J87" s="205"/>
      <c r="K87" s="205"/>
      <c r="L87" s="205"/>
      <c r="M87" s="246"/>
    </row>
    <row r="88" spans="1:13" s="225" customFormat="1" x14ac:dyDescent="0.3">
      <c r="A88" s="244"/>
      <c r="B88" s="205"/>
      <c r="C88" s="13"/>
      <c r="D88" s="205"/>
      <c r="E88" s="205"/>
      <c r="F88" s="205"/>
      <c r="G88" s="205"/>
      <c r="H88" s="205"/>
      <c r="I88" s="205"/>
      <c r="J88" s="205"/>
      <c r="K88" s="205"/>
      <c r="L88" s="205"/>
      <c r="M88" s="246"/>
    </row>
    <row r="89" spans="1:13" s="225" customFormat="1" x14ac:dyDescent="0.3">
      <c r="A89" s="244"/>
      <c r="B89" s="205"/>
      <c r="C89" s="13"/>
      <c r="D89" s="205"/>
      <c r="E89" s="205"/>
      <c r="F89" s="205"/>
      <c r="G89" s="205"/>
      <c r="H89" s="205"/>
      <c r="I89" s="205"/>
      <c r="J89" s="205"/>
      <c r="K89" s="205"/>
      <c r="L89" s="205"/>
      <c r="M89" s="246"/>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Alexandru Vesa</cp:lastModifiedBy>
  <dcterms:created xsi:type="dcterms:W3CDTF">2020-10-18T15:58:51Z</dcterms:created>
  <dcterms:modified xsi:type="dcterms:W3CDTF">2020-11-11T20:47:43Z</dcterms:modified>
</cp:coreProperties>
</file>