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varah.a\Desktop\Documents\Black Grass Resistance Initiative\Output\1. Cost of Resistance\Supplementary Files\"/>
    </mc:Choice>
  </mc:AlternateContent>
  <xr:revisionPtr revIDLastSave="0" documentId="13_ncr:1_{56CD1B05-74FE-4389-8889-B4B69B633A60}" xr6:coauthVersionLast="43" xr6:coauthVersionMax="43" xr10:uidLastSave="{00000000-0000-0000-0000-000000000000}"/>
  <bookViews>
    <workbookView xWindow="-104" yWindow="-104" windowWidth="22326" windowHeight="12050" tabRatio="500" xr2:uid="{00000000-000D-0000-FFFF-FFFF00000000}"/>
  </bookViews>
  <sheets>
    <sheet name="Model Details &amp; Assumptions" sheetId="1" r:id="rId1"/>
    <sheet name="Model Overview" sheetId="15" r:id="rId2"/>
    <sheet name="Model Input Variables" sheetId="2" r:id="rId3"/>
    <sheet name="Soil Index &amp; Farm Data" sheetId="14" r:id="rId4"/>
    <sheet name="Crop &amp; Tillage Labels" sheetId="13" r:id="rId5"/>
    <sheet name="Crop Data" sheetId="4" r:id="rId6"/>
    <sheet name="Default Data" sheetId="11" r:id="rId7"/>
    <sheet name="Machinery" sheetId="5" r:id="rId8"/>
    <sheet name="Operations &amp; Work Rates" sheetId="6" r:id="rId9"/>
    <sheet name="Yield Penalty | Black-grass" sheetId="7" r:id="rId10"/>
    <sheet name="Yield Penalty | Sowing Date" sheetId="8" r:id="rId11"/>
    <sheet name="Yield Penalty | Crop Rotations" sheetId="16" r:id="rId12"/>
    <sheet name="Data Sources &amp; References" sheetId="10" r:id="rId13"/>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21" i="6" l="1"/>
  <c r="I111" i="6"/>
  <c r="D99" i="6"/>
  <c r="J97" i="6"/>
  <c r="E97" i="6"/>
  <c r="I96" i="6"/>
  <c r="I88" i="6"/>
  <c r="I78" i="6"/>
  <c r="D78" i="6"/>
  <c r="I66" i="6"/>
  <c r="D66" i="6"/>
  <c r="I54" i="6"/>
  <c r="D54" i="6"/>
  <c r="D120" i="6"/>
  <c r="I119" i="6"/>
  <c r="I110" i="6"/>
  <c r="D110" i="6"/>
  <c r="D96" i="6"/>
  <c r="I87" i="6"/>
  <c r="D87" i="6"/>
  <c r="I77" i="6"/>
  <c r="D77" i="6"/>
  <c r="I65" i="6"/>
  <c r="D65" i="6"/>
  <c r="I53" i="6"/>
  <c r="D53" i="6"/>
  <c r="S23" i="4"/>
  <c r="R23" i="4"/>
  <c r="Q23" i="4"/>
  <c r="M23" i="4"/>
  <c r="K23" i="4"/>
  <c r="J23" i="4"/>
  <c r="I23" i="4"/>
  <c r="H23" i="4"/>
  <c r="G23" i="4"/>
  <c r="F23" i="4"/>
  <c r="G27" i="4"/>
  <c r="H27" i="4"/>
  <c r="I27" i="4"/>
  <c r="J27" i="4"/>
  <c r="K27" i="4"/>
  <c r="L27" i="4"/>
  <c r="M27" i="4"/>
  <c r="N27" i="4"/>
  <c r="O27" i="4"/>
  <c r="P27" i="4"/>
  <c r="Q27" i="4"/>
  <c r="R27" i="4"/>
  <c r="S27" i="4"/>
  <c r="F27" i="4"/>
  <c r="D128" i="6" l="1"/>
  <c r="D129" i="6"/>
  <c r="D130" i="6" s="1"/>
  <c r="F53" i="6"/>
  <c r="D131" i="6"/>
  <c r="D132" i="6" l="1"/>
  <c r="I52" i="6" l="1"/>
  <c r="K52" i="6" s="1"/>
  <c r="F131" i="6"/>
  <c r="F96" i="6"/>
  <c r="E46" i="6"/>
  <c r="E47" i="6" s="1"/>
  <c r="E40" i="6"/>
  <c r="D133" i="6"/>
  <c r="F133" i="6" s="1"/>
  <c r="F121" i="6"/>
  <c r="I109" i="6"/>
  <c r="K109" i="6" s="1"/>
  <c r="D119" i="6"/>
  <c r="F119" i="6" s="1"/>
  <c r="I112" i="6"/>
  <c r="K112" i="6" s="1"/>
  <c r="K111" i="6"/>
  <c r="D112" i="6"/>
  <c r="F112" i="6" s="1"/>
  <c r="D111" i="6"/>
  <c r="F111" i="6" s="1"/>
  <c r="D109" i="6"/>
  <c r="F109" i="6" s="1"/>
  <c r="N23" i="4"/>
  <c r="K88" i="6"/>
  <c r="I89" i="6"/>
  <c r="K89" i="6" s="1"/>
  <c r="I86" i="6"/>
  <c r="K86" i="6" s="1"/>
  <c r="E122" i="6"/>
  <c r="F122" i="6" s="1"/>
  <c r="F120" i="6"/>
  <c r="J113" i="6"/>
  <c r="K113" i="6" s="1"/>
  <c r="K110" i="6"/>
  <c r="E113" i="6"/>
  <c r="F113" i="6" s="1"/>
  <c r="F110" i="6"/>
  <c r="J90" i="6"/>
  <c r="K90" i="6" s="1"/>
  <c r="K87" i="6"/>
  <c r="L23" i="4"/>
  <c r="O23" i="4"/>
  <c r="J103" i="6" s="1"/>
  <c r="K103" i="6" s="1"/>
  <c r="H25" i="4"/>
  <c r="K53" i="6"/>
  <c r="F128" i="6"/>
  <c r="F99" i="6"/>
  <c r="I102" i="6"/>
  <c r="K102" i="6" s="1"/>
  <c r="D103" i="6"/>
  <c r="F103" i="6" s="1"/>
  <c r="I101" i="6"/>
  <c r="K101" i="6" s="1"/>
  <c r="I98" i="6"/>
  <c r="K98" i="6" s="1"/>
  <c r="K97" i="6"/>
  <c r="K96" i="6"/>
  <c r="D89" i="6"/>
  <c r="F89" i="6" s="1"/>
  <c r="D88" i="6"/>
  <c r="F88" i="6" s="1"/>
  <c r="D101" i="6"/>
  <c r="F101" i="6" s="1"/>
  <c r="E102" i="6"/>
  <c r="D102" i="6" s="1"/>
  <c r="D100" i="6"/>
  <c r="F100" i="6" s="1"/>
  <c r="D98" i="6"/>
  <c r="F98" i="6" s="1"/>
  <c r="K78" i="6"/>
  <c r="F78" i="6"/>
  <c r="G25" i="4"/>
  <c r="K66" i="6"/>
  <c r="K54" i="6"/>
  <c r="F66" i="6"/>
  <c r="I68" i="6"/>
  <c r="K68" i="6" s="1"/>
  <c r="I56" i="6"/>
  <c r="K56" i="6" s="1"/>
  <c r="D68" i="6"/>
  <c r="F68" i="6" s="1"/>
  <c r="I100" i="6"/>
  <c r="K100" i="6" s="1"/>
  <c r="D86" i="6"/>
  <c r="F86" i="6" s="1"/>
  <c r="I76" i="6"/>
  <c r="K76" i="6" s="1"/>
  <c r="D76" i="6"/>
  <c r="F76" i="6" s="1"/>
  <c r="I64" i="6"/>
  <c r="K64" i="6" s="1"/>
  <c r="D64" i="6"/>
  <c r="F64" i="6" s="1"/>
  <c r="D52" i="6"/>
  <c r="F52" i="6" s="1"/>
  <c r="K119" i="6"/>
  <c r="F87" i="6"/>
  <c r="K77" i="6"/>
  <c r="F77" i="6"/>
  <c r="K65" i="6"/>
  <c r="F65" i="6"/>
  <c r="I55" i="6"/>
  <c r="K55" i="6" s="1"/>
  <c r="J57" i="6"/>
  <c r="I57" i="6" s="1"/>
  <c r="F54" i="6"/>
  <c r="J120" i="6"/>
  <c r="I120" i="6" s="1"/>
  <c r="J99" i="6"/>
  <c r="I99" i="6" s="1"/>
  <c r="E90" i="6"/>
  <c r="D90" i="6" s="1"/>
  <c r="J79" i="6"/>
  <c r="K79" i="6" s="1"/>
  <c r="E80" i="6"/>
  <c r="F80" i="6" s="1"/>
  <c r="J69" i="6"/>
  <c r="K69" i="6" s="1"/>
  <c r="E69" i="6"/>
  <c r="F69" i="6" s="1"/>
  <c r="E57" i="6"/>
  <c r="F57" i="6" s="1"/>
  <c r="D56" i="6"/>
  <c r="F56" i="6" s="1"/>
  <c r="D79" i="6"/>
  <c r="F79" i="6" s="1"/>
  <c r="I67" i="6"/>
  <c r="K67" i="6" s="1"/>
  <c r="D67" i="6"/>
  <c r="F67" i="6" s="1"/>
  <c r="D55" i="6"/>
  <c r="F55" i="6" s="1"/>
  <c r="E44" i="6"/>
  <c r="E45" i="6" s="1"/>
  <c r="J91" i="6" l="1"/>
  <c r="E104" i="6"/>
  <c r="F104" i="6" s="1"/>
  <c r="E58" i="6"/>
  <c r="D58" i="6" s="1"/>
  <c r="J70" i="6"/>
  <c r="K70" i="6" s="1"/>
  <c r="E81" i="6"/>
  <c r="F81" i="6" s="1"/>
  <c r="E71" i="6"/>
  <c r="D71" i="6" s="1"/>
  <c r="F25" i="4"/>
  <c r="E59" i="6" s="1"/>
  <c r="F59" i="6" s="1"/>
  <c r="J58" i="6"/>
  <c r="I58" i="6" s="1"/>
  <c r="E70" i="6"/>
  <c r="D70" i="6" s="1"/>
  <c r="D104" i="6"/>
  <c r="I25" i="4"/>
  <c r="J71" i="6" s="1"/>
  <c r="K71" i="6" s="1"/>
  <c r="F90" i="6"/>
  <c r="D97" i="6"/>
  <c r="F97" i="6"/>
  <c r="I79" i="6"/>
  <c r="K99" i="6"/>
  <c r="I113" i="6"/>
  <c r="J114" i="6"/>
  <c r="I114" i="6" s="1"/>
  <c r="D69" i="6"/>
  <c r="J59" i="6"/>
  <c r="K59" i="6" s="1"/>
  <c r="J80" i="6"/>
  <c r="K80" i="6" s="1"/>
  <c r="F130" i="6"/>
  <c r="I97" i="6"/>
  <c r="D113" i="6"/>
  <c r="F102" i="6"/>
  <c r="K57" i="6"/>
  <c r="K120" i="6"/>
  <c r="K91" i="6"/>
  <c r="I91" i="6"/>
  <c r="I90" i="6"/>
  <c r="F132" i="6"/>
  <c r="E114" i="6"/>
  <c r="D57" i="6"/>
  <c r="D122" i="6"/>
  <c r="E91" i="6"/>
  <c r="E123" i="6"/>
  <c r="I69" i="6"/>
  <c r="D80" i="6"/>
  <c r="I103" i="6"/>
  <c r="D81" i="6" l="1"/>
  <c r="F58" i="6"/>
  <c r="F70" i="6"/>
  <c r="I70" i="6"/>
  <c r="F71" i="6"/>
  <c r="D59" i="6"/>
  <c r="K58" i="6"/>
  <c r="I71" i="6"/>
  <c r="I80" i="6"/>
  <c r="K114" i="6"/>
  <c r="I59" i="6"/>
  <c r="F129" i="6"/>
  <c r="F114" i="6"/>
  <c r="D114" i="6"/>
  <c r="F91" i="6"/>
  <c r="D91" i="6"/>
  <c r="F123" i="6"/>
  <c r="D12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4" authorId="0" shapeId="0" xr:uid="{00000000-0006-0000-0100-000001000000}">
      <text>
        <r>
          <rPr>
            <sz val="10"/>
            <color indexed="81"/>
            <rFont val="Calibri"/>
            <family val="2"/>
          </rPr>
          <t>This is the label that must be used in the model input .csv file</t>
        </r>
      </text>
    </comment>
    <comment ref="E4" authorId="0" shapeId="0" xr:uid="{00000000-0006-0000-0100-000002000000}">
      <text>
        <r>
          <rPr>
            <sz val="10"/>
            <color indexed="81"/>
            <rFont val="Calibri"/>
            <family val="2"/>
          </rPr>
          <t>This is the label given in the model output</t>
        </r>
      </text>
    </comment>
    <comment ref="G6" authorId="0" shapeId="0" xr:uid="{739C04D9-2F46-4780-8E4D-67865A1851B2}">
      <text>
        <r>
          <rPr>
            <b/>
            <sz val="10"/>
            <color indexed="81"/>
            <rFont val="Calibri"/>
            <family val="2"/>
          </rPr>
          <t>N.B.</t>
        </r>
        <r>
          <rPr>
            <sz val="10"/>
            <color indexed="81"/>
            <rFont val="Calibri"/>
            <family val="2"/>
          </rPr>
          <t xml:space="preserve"> ploughing and inversion tillage are the same thing here: either terminology may be used in the model</t>
        </r>
      </text>
    </comment>
    <comment ref="G11" authorId="0" shapeId="0" xr:uid="{00000000-0006-0000-0100-000003000000}">
      <text>
        <r>
          <rPr>
            <sz val="10"/>
            <color indexed="81"/>
            <rFont val="Calibri"/>
            <family val="2"/>
          </rPr>
          <t>If no tillage was done, choose this option. There are no fuel/operations costs associated with this option.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6" authorId="0" shapeId="0" xr:uid="{00000000-0006-0000-0300-000001000000}">
      <text>
        <r>
          <rPr>
            <sz val="10"/>
            <color indexed="81"/>
            <rFont val="Calibri"/>
            <family val="2"/>
          </rPr>
          <t>To switch this off (</t>
        </r>
        <r>
          <rPr>
            <i/>
            <sz val="10"/>
            <color indexed="81"/>
            <rFont val="Calibri"/>
            <family val="2"/>
          </rPr>
          <t>i.e.</t>
        </r>
        <r>
          <rPr>
            <sz val="10"/>
            <color indexed="81"/>
            <rFont val="Calibri"/>
            <family val="2"/>
          </rPr>
          <t xml:space="preserve">if there is no secondary yield, for example when straw is left on the field) set </t>
        </r>
        <r>
          <rPr>
            <i/>
            <sz val="10"/>
            <color indexed="81"/>
            <rFont val="Calibri"/>
            <family val="2"/>
          </rPr>
          <t>seccost</t>
        </r>
        <r>
          <rPr>
            <sz val="10"/>
            <color indexed="81"/>
            <rFont val="Calibri"/>
            <family val="2"/>
          </rPr>
          <t xml:space="preserve"> to zero in line 265 of the R code (</t>
        </r>
        <r>
          <rPr>
            <sz val="10"/>
            <color indexed="81"/>
            <rFont val="Courier New"/>
            <family val="3"/>
          </rPr>
          <t>seccost &lt;- 0</t>
        </r>
        <r>
          <rPr>
            <sz val="10"/>
            <color indexed="81"/>
            <rFont val="Calibri"/>
            <family val="2"/>
          </rPr>
          <t>)</t>
        </r>
      </text>
    </comment>
    <comment ref="O15" authorId="0" shapeId="0" xr:uid="{380BD2B5-3F5B-472F-87F1-9546B8AD23B1}">
      <text>
        <r>
          <rPr>
            <b/>
            <sz val="10"/>
            <color indexed="81"/>
            <rFont val="Calibri"/>
            <family val="2"/>
          </rPr>
          <t>N.B.</t>
        </r>
        <r>
          <rPr>
            <sz val="10"/>
            <color indexed="81"/>
            <rFont val="Calibri"/>
            <family val="2"/>
          </rPr>
          <t xml:space="preserve"> Seed rate of sugar beet is measured in units per hectare, NOT kg/ha as for all the other crops.</t>
        </r>
      </text>
    </comment>
    <comment ref="D17" authorId="0" shapeId="0" xr:uid="{00000000-0006-0000-0300-000003000000}">
      <text>
        <r>
          <rPr>
            <sz val="10"/>
            <color indexed="81"/>
            <rFont val="Calibri"/>
            <family val="2"/>
          </rPr>
          <t>'BG herb' refers to the dose of selective herbicides targeting black-grass.</t>
        </r>
      </text>
    </comment>
    <comment ref="D18" authorId="0" shapeId="0" xr:uid="{00000000-0006-0000-0300-000004000000}">
      <text>
        <r>
          <rPr>
            <sz val="10"/>
            <color indexed="81"/>
            <rFont val="Calibri"/>
            <family val="2"/>
          </rPr>
          <t>'Herb Price' refers to the price for selective herbicides targeting black-grass.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3" authorId="0" shapeId="0" xr:uid="{00000000-0006-0000-0400-000001000000}">
      <text>
        <r>
          <rPr>
            <sz val="10"/>
            <color indexed="81"/>
            <rFont val="Calibri"/>
            <family val="2"/>
          </rPr>
          <t>For multiple fields, the model input data must be organised in a CSV file with column headings corresponding to the model inputs.</t>
        </r>
      </text>
    </comment>
    <comment ref="C5" authorId="0" shapeId="0" xr:uid="{00000000-0006-0000-0400-000002000000}">
      <text>
        <r>
          <rPr>
            <sz val="10"/>
            <color indexed="81"/>
            <rFont val="Calibri"/>
            <family val="2"/>
          </rPr>
          <t>For more detailed references see the 'Data Sources &amp; References' sheet</t>
        </r>
      </text>
    </comment>
    <comment ref="C18" authorId="0" shapeId="0" xr:uid="{453F91CB-1972-4959-AA51-F822229525C0}">
      <text>
        <r>
          <rPr>
            <sz val="10"/>
            <color indexed="81"/>
            <rFont val="Calibri"/>
            <family val="2"/>
          </rPr>
          <t>'bgherbdose' refers to the dose of selective herbicides targeting black-grass.</t>
        </r>
      </text>
    </comment>
    <comment ref="C28" authorId="0" shapeId="0" xr:uid="{3B188F76-5A91-44FC-A13B-4736EAC65554}">
      <text>
        <r>
          <rPr>
            <sz val="10"/>
            <color indexed="81"/>
            <rFont val="Calibri"/>
            <family val="2"/>
          </rPr>
          <t>'herbprice' refers to the price for selective herbicides targeting black-grass.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0" authorId="0" shapeId="0" xr:uid="{00000000-0006-0000-0600-000001000000}">
      <text>
        <r>
          <rPr>
            <sz val="10"/>
            <color indexed="81"/>
            <rFont val="Calibri"/>
            <family val="2"/>
          </rPr>
          <t>The size of the sprayer tank is used for estimating the work rate.</t>
        </r>
      </text>
    </comment>
    <comment ref="C44" authorId="0" shapeId="0" xr:uid="{00000000-0006-0000-0600-000002000000}">
      <text>
        <r>
          <rPr>
            <sz val="10"/>
            <color indexed="81"/>
            <rFont val="Calibri"/>
            <family val="2"/>
          </rPr>
          <t>PTO = power take-off</t>
        </r>
      </text>
    </comment>
    <comment ref="C46" authorId="0" shapeId="0" xr:uid="{00000000-0006-0000-0600-000003000000}">
      <text>
        <r>
          <rPr>
            <sz val="10"/>
            <color indexed="81"/>
            <rFont val="Calibri"/>
            <family val="2"/>
          </rPr>
          <t>PTO = power take-off</t>
        </r>
      </text>
    </comment>
    <comment ref="D128" authorId="0" shapeId="0" xr:uid="{00000000-0006-0000-0600-000004000000}">
      <text>
        <r>
          <rPr>
            <sz val="10"/>
            <color indexed="81"/>
            <rFont val="Calibri"/>
            <family val="2"/>
          </rPr>
          <t>Work rate for non-inversion tillage is assumed to be 50% of the ploughing work rate (i.e. twice as fast)</t>
        </r>
      </text>
    </comment>
    <comment ref="D129" authorId="0" shapeId="0" xr:uid="{00000000-0006-0000-0600-000005000000}">
      <text>
        <r>
          <rPr>
            <sz val="10"/>
            <color indexed="81"/>
            <rFont val="Calibri"/>
            <family val="2"/>
          </rPr>
          <t>Work rate for light cultivation is assumed to be 60% of the ploughing work rate.</t>
        </r>
      </text>
    </comment>
    <comment ref="C130" authorId="0" shapeId="0" xr:uid="{00000000-0006-0000-0600-000006000000}">
      <text>
        <r>
          <rPr>
            <sz val="10"/>
            <color indexed="81"/>
            <rFont val="Calibri"/>
            <family val="2"/>
          </rPr>
          <t>e.g. power harrow. The tines can be, for example, 28cm long. Sub-soiling is entered in ECOMOD as a separate category.</t>
        </r>
      </text>
    </comment>
    <comment ref="D130" authorId="0" shapeId="0" xr:uid="{00000000-0006-0000-0600-000007000000}">
      <text>
        <r>
          <rPr>
            <sz val="10"/>
            <color indexed="81"/>
            <rFont val="Calibri"/>
            <family val="2"/>
          </rPr>
          <t>Work rate for deep cultivation is assumed to be 40% more than light cultivation.</t>
        </r>
      </text>
    </comment>
    <comment ref="D131" authorId="0" shapeId="0" xr:uid="{00000000-0006-0000-0600-000008000000}">
      <text>
        <r>
          <rPr>
            <sz val="10"/>
            <color indexed="81"/>
            <rFont val="Calibri"/>
            <family val="2"/>
          </rPr>
          <t>Subsoiling is slower than ploughing.
Assumption is that a contractor will do 75% of what they would get done if ploughing, in the same time.</t>
        </r>
      </text>
    </comment>
    <comment ref="D132" authorId="0" shapeId="0" xr:uid="{00000000-0006-0000-0600-000009000000}">
      <text>
        <r>
          <rPr>
            <sz val="10"/>
            <color indexed="81"/>
            <rFont val="Calibri"/>
            <family val="2"/>
          </rPr>
          <t>Work rate for minimum tillage is assumed to be 30% of the ploughing work rate.</t>
        </r>
      </text>
    </comment>
    <comment ref="C133" authorId="0" shapeId="0" xr:uid="{00000000-0006-0000-0600-00000A000000}">
      <text>
        <r>
          <rPr>
            <sz val="10"/>
            <color indexed="81"/>
            <rFont val="Calibri"/>
            <family val="2"/>
          </rPr>
          <t>For direct drilling, it is assumed that the soil is not worked and so work rate is zero. The cost is thus estimated based on the drilling or sowing.</t>
        </r>
      </text>
    </comment>
  </commentList>
</comments>
</file>

<file path=xl/sharedStrings.xml><?xml version="1.0" encoding="utf-8"?>
<sst xmlns="http://schemas.openxmlformats.org/spreadsheetml/2006/main" count="925" uniqueCount="489">
  <si>
    <t xml:space="preserve">Produced by </t>
  </si>
  <si>
    <t>Date</t>
  </si>
  <si>
    <t>Model Description</t>
  </si>
  <si>
    <t>Work rate estimates (h/ha) are functions of soil type, fertiliser rates, seed rates, crop yields and machine sizes</t>
  </si>
  <si>
    <t>Set-aside/fallow is assumed if no crop is grown in a farm season</t>
  </si>
  <si>
    <t xml:space="preserve">Farm output (£/ha) = Crop yield (t/ha) × Crop price (£/t) </t>
  </si>
  <si>
    <t>Fertiliser cost (£/ha) = (N fertiliser rate (kg/ha) × N Fertiliser price (£/kg)) + (P fertiliser rate (kg/ha) × P fertiliser price (£/kg)) + (K fertiliser rate (kg/ha) × K fertiliser price (£/kg))</t>
  </si>
  <si>
    <t>Seed cost (£/ha) = Seed rate (kg/ha) × Seed price (£/kg)</t>
  </si>
  <si>
    <t>Variable cost (£/ha) = Fertiliser cost + Seed cost + Herbicide cost + Sundry cost</t>
  </si>
  <si>
    <t>Gross Margin (£/ha) = (Farm output - Variable cost ) + Subsidy (SFP)</t>
  </si>
  <si>
    <t>Fuel cost (£/ha) = Machine work rate (h/ha) × Fuel consumption (l/h) × Fuel price (£/l)</t>
  </si>
  <si>
    <t>Labour cost (£/ha) = Work rate (h/ha) × Hourly labour wage (£/h)</t>
  </si>
  <si>
    <t>Operation cost (£/ha) = Fuel cost + Labour cost</t>
  </si>
  <si>
    <t>Gross Profit (£/ha) = Gross Margin - Operation cost</t>
  </si>
  <si>
    <t>Rotation Gross Profit = Gross profit × Rotation probability</t>
  </si>
  <si>
    <t>Rotation probability = 1/ Length of rotation</t>
  </si>
  <si>
    <t>WWHT</t>
  </si>
  <si>
    <t>Crops/Activities</t>
  </si>
  <si>
    <t>SWHT</t>
  </si>
  <si>
    <t>WBAR</t>
  </si>
  <si>
    <t>SBAR</t>
  </si>
  <si>
    <t>WBEA</t>
  </si>
  <si>
    <t>SBEA</t>
  </si>
  <si>
    <t>WPOT</t>
  </si>
  <si>
    <t>WOSR</t>
  </si>
  <si>
    <t>SBEE</t>
  </si>
  <si>
    <t>SETA</t>
  </si>
  <si>
    <t xml:space="preserve">Winter wheat </t>
  </si>
  <si>
    <t>Spring wheat</t>
  </si>
  <si>
    <t>Winter barley</t>
  </si>
  <si>
    <t>Spring barley</t>
  </si>
  <si>
    <t>Winter beans</t>
  </si>
  <si>
    <t>Spring beans</t>
  </si>
  <si>
    <t>Ware potato</t>
  </si>
  <si>
    <t>Winter oilseed rape</t>
  </si>
  <si>
    <t>Sugar beet</t>
  </si>
  <si>
    <t>Set-aside</t>
  </si>
  <si>
    <t>Variable Labels</t>
  </si>
  <si>
    <t xml:space="preserve">Soil </t>
  </si>
  <si>
    <t>winterwheat</t>
  </si>
  <si>
    <t>springwheat</t>
  </si>
  <si>
    <t>winterbarley</t>
  </si>
  <si>
    <t>springbarley</t>
  </si>
  <si>
    <t>winterbeans</t>
  </si>
  <si>
    <t>springbeans</t>
  </si>
  <si>
    <t>warepotatoes</t>
  </si>
  <si>
    <t>wosr</t>
  </si>
  <si>
    <t>sugarbeet</t>
  </si>
  <si>
    <t>setaside</t>
  </si>
  <si>
    <t>Tillage Practices</t>
  </si>
  <si>
    <t>Label</t>
  </si>
  <si>
    <t>Plough</t>
  </si>
  <si>
    <t>ploughing</t>
  </si>
  <si>
    <t>Non-inversion</t>
  </si>
  <si>
    <t>Light cultivation</t>
  </si>
  <si>
    <t>Sub-soiling</t>
  </si>
  <si>
    <t>inversion</t>
  </si>
  <si>
    <t>noninversion</t>
  </si>
  <si>
    <t>lightcultivation</t>
  </si>
  <si>
    <t>subsoiling</t>
  </si>
  <si>
    <t>Delayed Sowing</t>
  </si>
  <si>
    <t>Sowing</t>
  </si>
  <si>
    <t>soil</t>
  </si>
  <si>
    <t>rotlength</t>
  </si>
  <si>
    <t>Soil type</t>
  </si>
  <si>
    <t>blackgrass</t>
  </si>
  <si>
    <t>Variable</t>
  </si>
  <si>
    <t>Unit</t>
  </si>
  <si>
    <t>Value</t>
  </si>
  <si>
    <t>Fuel price</t>
  </si>
  <si>
    <t>£/l</t>
  </si>
  <si>
    <t>Labour wage</t>
  </si>
  <si>
    <t>£/h</t>
  </si>
  <si>
    <t>%</t>
  </si>
  <si>
    <t>Subsidy</t>
  </si>
  <si>
    <t>£/ha</t>
  </si>
  <si>
    <t>Index</t>
  </si>
  <si>
    <t>Remarks</t>
  </si>
  <si>
    <t>Light soil</t>
  </si>
  <si>
    <t>Medium soil</t>
  </si>
  <si>
    <t>Heavy soil</t>
  </si>
  <si>
    <t>Input/Output</t>
  </si>
  <si>
    <t>N Fertiliser</t>
  </si>
  <si>
    <t>kg/ha</t>
  </si>
  <si>
    <t>P Fertiliser</t>
  </si>
  <si>
    <t>K Fertiliser</t>
  </si>
  <si>
    <t>N Fertiliser Price</t>
  </si>
  <si>
    <t>£/kg</t>
  </si>
  <si>
    <t>P Fertiliser Price</t>
  </si>
  <si>
    <t>K Fertiliser Price</t>
  </si>
  <si>
    <t>Seed</t>
  </si>
  <si>
    <t>Seed Price</t>
  </si>
  <si>
    <t>l/ha</t>
  </si>
  <si>
    <t>Sugarbeet Transport</t>
  </si>
  <si>
    <t>£/t</t>
  </si>
  <si>
    <t>Primary Yield</t>
  </si>
  <si>
    <t>t/ha</t>
  </si>
  <si>
    <t>Primary Yield Price</t>
  </si>
  <si>
    <t>Secondary Yield</t>
  </si>
  <si>
    <t>Secondary Yield Price</t>
  </si>
  <si>
    <t>Crop Data</t>
  </si>
  <si>
    <t>Sundry Cost</t>
  </si>
  <si>
    <t>Machines</t>
  </si>
  <si>
    <t>Size</t>
  </si>
  <si>
    <t>Tractor</t>
  </si>
  <si>
    <t>kW</t>
  </si>
  <si>
    <t>Roller</t>
  </si>
  <si>
    <t>m</t>
  </si>
  <si>
    <t>Sprayer</t>
  </si>
  <si>
    <t>litres</t>
  </si>
  <si>
    <t>Baler</t>
  </si>
  <si>
    <t>Combine Harvester</t>
  </si>
  <si>
    <t>Harrow</t>
  </si>
  <si>
    <t>Operations</t>
  </si>
  <si>
    <t>FMSD</t>
  </si>
  <si>
    <t>Factors</t>
  </si>
  <si>
    <t xml:space="preserve">P/K fertiliser spreading </t>
  </si>
  <si>
    <t xml:space="preserve">Sprayer </t>
  </si>
  <si>
    <t>P/K amounts, tank size</t>
  </si>
  <si>
    <t>Ploughing</t>
  </si>
  <si>
    <t xml:space="preserve">Tractor </t>
  </si>
  <si>
    <t>Tractor size, soil type</t>
  </si>
  <si>
    <t xml:space="preserve">Tractor size, soil type, seed rate </t>
  </si>
  <si>
    <t>Combine harvester size (t/h)</t>
  </si>
  <si>
    <t>Rolling</t>
  </si>
  <si>
    <t xml:space="preserve">Roller </t>
  </si>
  <si>
    <t>Roller width</t>
  </si>
  <si>
    <t>Assumed roller speed (km/h)</t>
  </si>
  <si>
    <t>Spraying</t>
  </si>
  <si>
    <t>Tank size</t>
  </si>
  <si>
    <t>Assumed row spacing (m)</t>
  </si>
  <si>
    <t>Combine harvesting</t>
  </si>
  <si>
    <t>Combine harvester size, primary crop yield</t>
  </si>
  <si>
    <t>Assumed hoeing speed (km/h)</t>
  </si>
  <si>
    <t>Baling</t>
  </si>
  <si>
    <t>Combine harvester size, secondary crop yield</t>
  </si>
  <si>
    <t>N amounts, tank size</t>
  </si>
  <si>
    <t>Tractor power (max PTO horsepower)</t>
  </si>
  <si>
    <t>Harrowing</t>
  </si>
  <si>
    <t>Tractor fuel consumption (l/h)</t>
  </si>
  <si>
    <t xml:space="preserve">Inter-row hoeing </t>
  </si>
  <si>
    <t>Row spacing</t>
  </si>
  <si>
    <t>Combine power (max PTO horsepower)</t>
  </si>
  <si>
    <t>Sugarbeet harvesting</t>
  </si>
  <si>
    <t>Soil type, yield</t>
  </si>
  <si>
    <t>Combine fuel consumption (l/h)</t>
  </si>
  <si>
    <t>Machine Types</t>
  </si>
  <si>
    <t>No/Low</t>
  </si>
  <si>
    <t>1-160</t>
  </si>
  <si>
    <t>Medium</t>
  </si>
  <si>
    <t>161-450</t>
  </si>
  <si>
    <t>High</t>
  </si>
  <si>
    <t>451-1450</t>
  </si>
  <si>
    <t>Very High</t>
  </si>
  <si>
    <t>&gt;1450</t>
  </si>
  <si>
    <t>Winter wheat</t>
  </si>
  <si>
    <t>Labour</t>
  </si>
  <si>
    <t>Winter OSR</t>
  </si>
  <si>
    <t>Harvesting</t>
  </si>
  <si>
    <t>N fertiliser application</t>
  </si>
  <si>
    <t>Inter-row hoeing</t>
  </si>
  <si>
    <t>Set-aside/Fallow</t>
  </si>
  <si>
    <t>Sprayer tank</t>
  </si>
  <si>
    <t>Ridging</t>
  </si>
  <si>
    <t>Tillage Option</t>
  </si>
  <si>
    <t>May</t>
  </si>
  <si>
    <t>Minimum tillage</t>
  </si>
  <si>
    <t>Data Sources</t>
  </si>
  <si>
    <t>Data</t>
  </si>
  <si>
    <t>Source</t>
  </si>
  <si>
    <t>References</t>
  </si>
  <si>
    <t>no.</t>
  </si>
  <si>
    <t xml:space="preserve">Sugar beet transport cost </t>
  </si>
  <si>
    <t>Glyphosate</t>
  </si>
  <si>
    <t>Glyphosate Price</t>
  </si>
  <si>
    <t>Fertiliser Manual (RB209)</t>
  </si>
  <si>
    <t>ABC (2014)</t>
  </si>
  <si>
    <t>farmR model data</t>
  </si>
  <si>
    <t>Soil type indices</t>
  </si>
  <si>
    <t>Rotational penalties</t>
  </si>
  <si>
    <t>Work rates for crop operations</t>
  </si>
  <si>
    <t>hr/ha</t>
  </si>
  <si>
    <t>Nix (2014)</t>
  </si>
  <si>
    <t>crops</t>
  </si>
  <si>
    <t>seedrate</t>
  </si>
  <si>
    <t>delsowing</t>
  </si>
  <si>
    <t>glyphosatedose</t>
  </si>
  <si>
    <t>cropprice</t>
  </si>
  <si>
    <t>cropyield</t>
  </si>
  <si>
    <t>yieldoption</t>
  </si>
  <si>
    <t>Nfert</t>
  </si>
  <si>
    <t>Pfert</t>
  </si>
  <si>
    <t>Kfert</t>
  </si>
  <si>
    <t>Nfertprice</t>
  </si>
  <si>
    <t>Pfertprice</t>
  </si>
  <si>
    <t>Kfertprice</t>
  </si>
  <si>
    <t>seedprice</t>
  </si>
  <si>
    <t>herbprice</t>
  </si>
  <si>
    <t>glyphosateprice</t>
  </si>
  <si>
    <t>machsize</t>
  </si>
  <si>
    <t>fuelprice</t>
  </si>
  <si>
    <t>labourwage</t>
  </si>
  <si>
    <t>--</t>
  </si>
  <si>
    <t>SOSR</t>
  </si>
  <si>
    <t>Spring oilseed rape</t>
  </si>
  <si>
    <t>WLIN</t>
  </si>
  <si>
    <t>SLIN</t>
  </si>
  <si>
    <t>DPEA</t>
  </si>
  <si>
    <t>Winter linseed</t>
  </si>
  <si>
    <t>Spring linseed</t>
  </si>
  <si>
    <t>Dried peas</t>
  </si>
  <si>
    <t>Model Variable/Input</t>
  </si>
  <si>
    <t>Input Type</t>
  </si>
  <si>
    <t>farmdata</t>
  </si>
  <si>
    <t>CSV file</t>
  </si>
  <si>
    <t>This has to be a CSV file based on a developed template to run model for multiple farms</t>
  </si>
  <si>
    <t xml:space="preserve">String </t>
  </si>
  <si>
    <t>farm</t>
  </si>
  <si>
    <t>Number</t>
  </si>
  <si>
    <t>Integer</t>
  </si>
  <si>
    <t>Length of rotation (Integer between 2 and 6).</t>
  </si>
  <si>
    <t>rotprob</t>
  </si>
  <si>
    <t>Number normally 1/and integer if independent rotation probability needs to be set.</t>
  </si>
  <si>
    <t>String</t>
  </si>
  <si>
    <t>tillages</t>
  </si>
  <si>
    <t>A vector of length 6 of delayed sowing decisions. (Inputs are “no” or “late’, “later” and “latest” to show degree or delay)</t>
  </si>
  <si>
    <t>bgherbdose</t>
  </si>
  <si>
    <t>numberofsprays</t>
  </si>
  <si>
    <t>subsidy</t>
  </si>
  <si>
    <t>Crops</t>
  </si>
  <si>
    <t>Yield Penalty (%)</t>
  </si>
  <si>
    <t>Months</t>
  </si>
  <si>
    <t>October</t>
  </si>
  <si>
    <t>November</t>
  </si>
  <si>
    <t>December</t>
  </si>
  <si>
    <t>February</t>
  </si>
  <si>
    <t>March</t>
  </si>
  <si>
    <t>April</t>
  </si>
  <si>
    <t>January</t>
  </si>
  <si>
    <t>Ware potatoes</t>
  </si>
  <si>
    <t>June</t>
  </si>
  <si>
    <t>August</t>
  </si>
  <si>
    <t>September</t>
  </si>
  <si>
    <t xml:space="preserve">Sugar beet </t>
  </si>
  <si>
    <t xml:space="preserve">March </t>
  </si>
  <si>
    <t xml:space="preserve">Fertiliser rates </t>
  </si>
  <si>
    <t>Defra (2010)</t>
  </si>
  <si>
    <t>Fertiliser prices</t>
  </si>
  <si>
    <t>Agricultural Budgeting &amp; Costing Book</t>
  </si>
  <si>
    <t>Seed rates</t>
  </si>
  <si>
    <t>Toosey (1988)</t>
  </si>
  <si>
    <t>Seed prices</t>
  </si>
  <si>
    <t>Herbicide/Glyphosate rates</t>
  </si>
  <si>
    <t>BGRI field data</t>
  </si>
  <si>
    <t>Black-Grass Resistance Improvement (BGRI) project data</t>
  </si>
  <si>
    <t>Herbicide/Glyphosate prices</t>
  </si>
  <si>
    <t xml:space="preserve">Number of sprays </t>
  </si>
  <si>
    <t>Sundry costs</t>
  </si>
  <si>
    <t>ABC (2014), Nix (2014)</t>
  </si>
  <si>
    <t>Crop prices</t>
  </si>
  <si>
    <t>Farm Management Pocketbook</t>
  </si>
  <si>
    <t>Crop yields</t>
  </si>
  <si>
    <t xml:space="preserve">farmR model </t>
  </si>
  <si>
    <t>Based on yield response functions adopted from the farmR model (Cooke et al. (2013).</t>
  </si>
  <si>
    <t>Subsidy (Single Farm Payment)</t>
  </si>
  <si>
    <t>Fuel (red diesel) price</t>
  </si>
  <si>
    <t xml:space="preserve">Hourly labour wage </t>
  </si>
  <si>
    <t>Yield penalties due to continuous cropping</t>
  </si>
  <si>
    <t>Yield penalties due to delayed sowing</t>
  </si>
  <si>
    <t xml:space="preserve">Machine sizes </t>
  </si>
  <si>
    <t>kW or m</t>
  </si>
  <si>
    <t xml:space="preserve">Cooke, I. R., Mattison, E. H. A., Audsley, E., Bailey, A. P., Freckleton, R. P., Graves, A. R., Morris, J., Queenborough, S. A., Sandars, D. L., Siriwardena, G. M., Trawick, P., Watkinson, A. R. and Sutherland, W. J. (2013) Empirical test of an agricultural landscape model: The importance of farmer preference for risk aversion and crop complexity. SAGE Open. 3(2), pp. 1-16. </t>
  </si>
  <si>
    <t xml:space="preserve">Nix, J. (2014) Farm management pocketbook, 44th ed, Agro Business Consultants Ltd, Melton Mowbray, England. </t>
  </si>
  <si>
    <t xml:space="preserve">Toosey, R. D. (1988) "Arable crops", in Halley, R. J. and Soffe, R. J. (eds.) The Agricultural Notebook, 18th ed, Butterworths, London, England, pp. 77-128. </t>
  </si>
  <si>
    <t xml:space="preserve">Chamen, W. C. T. and Audsley, E. (1993) A study of the comparative economics of conventional and zero traffic systems for arable crops. Soil and Tillage Research. 25(4), pp. 369-396. </t>
  </si>
  <si>
    <t xml:space="preserve">ABC (2014) The agricultural budgeting &amp; costing book, 78th ed, Agro Business Consultants, Melton Mowbray, England. </t>
  </si>
  <si>
    <t>filename</t>
  </si>
  <si>
    <t>string</t>
  </si>
  <si>
    <t>The name to be given to the saved results file</t>
  </si>
  <si>
    <t>Model  Inputs</t>
  </si>
  <si>
    <t>deepcultivation</t>
  </si>
  <si>
    <t>late</t>
  </si>
  <si>
    <t>no</t>
  </si>
  <si>
    <t>low</t>
  </si>
  <si>
    <t>yes</t>
  </si>
  <si>
    <t>sosr</t>
  </si>
  <si>
    <t>winterlinseed</t>
  </si>
  <si>
    <t>springlinseed</t>
  </si>
  <si>
    <t>driedpeas</t>
  </si>
  <si>
    <t>Spring OSR</t>
  </si>
  <si>
    <t>Minimum Tillage</t>
  </si>
  <si>
    <t>Deep cultivation</t>
  </si>
  <si>
    <t xml:space="preserve">Direct Drilling </t>
  </si>
  <si>
    <t>kg [K]/ha</t>
  </si>
  <si>
    <t>kg [P]/ha</t>
  </si>
  <si>
    <t>kg [N]/ha</t>
  </si>
  <si>
    <t>N fertiliser price (£/kg) (see 'Crop Data' sheet)</t>
  </si>
  <si>
    <t>P fertiliser price (£/kg) (see 'Crop Data' sheet)</t>
  </si>
  <si>
    <t>K fertiliser price (£/kg) (see 'Crop Data' sheet)</t>
  </si>
  <si>
    <t>Price of fuel (red diesel) (£/l)</t>
  </si>
  <si>
    <t>Hourly labour wage (£/hr)</t>
  </si>
  <si>
    <t>Inversion</t>
  </si>
  <si>
    <t>Sundry cost (£/ha) is primarily the cost of other chemicals and other miscellaneous costs</t>
  </si>
  <si>
    <t>Three classes of delayed sowing were derived based on the assumed months in which sowing attracts yield penalties.</t>
  </si>
  <si>
    <t>Direct drill</t>
  </si>
  <si>
    <t>directdrilling</t>
  </si>
  <si>
    <t>The data for herbicide and glyphosate rates are randomly selected from farm data collected in the BGRI project. The rates may vary and thus the data presented serve as a guide only.</t>
  </si>
  <si>
    <t>P and K fertiliser rates are recommended rates from Defra's Fertiliser Manual (RB209).</t>
  </si>
  <si>
    <t>In the case of spraying, work rate is estimated based on the size of the sprayer tank.</t>
  </si>
  <si>
    <t xml:space="preserve">Combine harvester </t>
  </si>
  <si>
    <t>Assumptions:</t>
  </si>
  <si>
    <t>Work rates depend on machine sizes, soil type, yield and fertiliser amounts.</t>
  </si>
  <si>
    <t>A combine harvester with a power of 90kW can harvest 10t/h. So a combine harvester of 125kW can harvest (10/90)*125. Thus a ratio of 10/90 was used in calculations.</t>
  </si>
  <si>
    <t>In the model, when a level of infestation is set, the respective yield penalty is deducted from winter wheat yield.</t>
  </si>
  <si>
    <t>This data has been presented to be used in a situation where the user is running the model for multiple fields but is missing some crop data.</t>
  </si>
  <si>
    <t>INPUTS</t>
  </si>
  <si>
    <t>OUTPUTS</t>
  </si>
  <si>
    <t>Default data</t>
  </si>
  <si>
    <t xml:space="preserve">
- farm data collected in the BGRI project 
- farm management books</t>
  </si>
  <si>
    <t>To ensure the model generates some results when run for a single field, default data have been incorporated into the model. 
The default data in BGRI-ECOMOD are from two sources: 
This default data is not used when running the model for multiple fields.</t>
  </si>
  <si>
    <t>NA</t>
  </si>
  <si>
    <t>If sowing was at optimal timing, model input for delayed sowing is 'no'.</t>
  </si>
  <si>
    <t>later</t>
  </si>
  <si>
    <t>latest</t>
  </si>
  <si>
    <t>Indices from 0.5 to 2.5 at interval of 0.25 representing light to heavy soil. Soils categorised according to the Soil Texture (85) System.</t>
  </si>
  <si>
    <t>farmR model data and Soil Texture (85) System</t>
  </si>
  <si>
    <t>minimumtillage</t>
  </si>
  <si>
    <t>Work rates</t>
  </si>
  <si>
    <t>Chamen and Audsley (1993); contractor advice</t>
  </si>
  <si>
    <t>clay (C )</t>
  </si>
  <si>
    <t>loam (L), clay loam (CL)</t>
  </si>
  <si>
    <t>sandy clay loam (SCL)</t>
  </si>
  <si>
    <t>silty clay (SIC)</t>
  </si>
  <si>
    <t>silty clay loam (SICL)</t>
  </si>
  <si>
    <t>sandy clay (SC)</t>
  </si>
  <si>
    <t>sandy loam (SL), silt (SI), sandy silt loam (SSIL), silt loam (SIL)</t>
  </si>
  <si>
    <t>loamy sand (LS)</t>
  </si>
  <si>
    <t>* peat given a value of 1.5</t>
  </si>
  <si>
    <t>Soil Texture (85) system: http://web.adas.co.uk/WeedManager/principles/soil.aspx</t>
  </si>
  <si>
    <t>1.5*</t>
  </si>
  <si>
    <t xml:space="preserve">The prices for herbicide and glyphosate are average prices obtained from BGRI farm data. </t>
  </si>
  <si>
    <t>Soil Index</t>
  </si>
  <si>
    <t>Details</t>
  </si>
  <si>
    <t>Option to specify running the model based on default values or user-specified data (for default values, “yes”; NULL for user-specified data or if running the model for multiple fields)</t>
  </si>
  <si>
    <t>Option for running model for single or multiple field(s) (“single” or “multiple”).</t>
  </si>
  <si>
    <t>A vector of length 6 of crops grown from year 1 to 6 (Needs to be in inverted commas e.g. “winterwheat” if being entered directly into model code)</t>
  </si>
  <si>
    <t>A vector of length 6 of tillage method applied in year 1 to 6 (Needs to be in inverted commas e.g. “ploughing” if being entered directly into model code)</t>
  </si>
  <si>
    <t>Option of running the model using actual yield data or asking it to estimate yield (inputs are “actual” or “estimate”)</t>
  </si>
  <si>
    <r>
      <t>sand (S)</t>
    </r>
    <r>
      <rPr>
        <vertAlign val="superscript"/>
        <sz val="11"/>
        <color theme="1"/>
        <rFont val="Cambria"/>
        <family val="1"/>
      </rPr>
      <t>†</t>
    </r>
  </si>
  <si>
    <t>For the cereal crops, secondary yields are assumed and represent the straw from harvested cereals.</t>
  </si>
  <si>
    <t xml:space="preserve">The sizes of the machines below were used in estimating work rates. </t>
  </si>
  <si>
    <t xml:space="preserve">Defra (2010) Fertiliser Manual (RB209), available at: https://www.gov.uk/government/uploads/system/uploads/attachment_data/file/69469/rb209-fertiliser-manual-110412.pdf (accessed 25 April 2017). </t>
  </si>
  <si>
    <t>Tillage/ Sowing Practices</t>
  </si>
  <si>
    <t>2017-2018</t>
  </si>
  <si>
    <t>Each farm is assumed to receive single farm payment (SFP) (£/ha) unless specified otherwise.</t>
  </si>
  <si>
    <t>The work rate for non-inversion, light cultivation and sub-soiling are estimated as a proportion of ploughing work rate due to lack of data.</t>
  </si>
  <si>
    <t>Estimated crop yields (t/ha) are based on response functions which take into consideration the farm or field’s soil type and N fertiliser rate (kg [N]/ha).</t>
  </si>
  <si>
    <t>All estimated outputs are on per hectare basis.</t>
  </si>
  <si>
    <t>Tillage options are: non-inversion; light cultivation; deep cultivation; subsoiling; ploughing; or none (in which case, use the option ‘direct drilling’).</t>
  </si>
  <si>
    <t>Work rates (h/ha) for earth-moving operations are functions of soil types and tractor size.</t>
  </si>
  <si>
    <t>Work rate for fertiliser spreading is a function of fertiliser rates and sprayer tank size.</t>
  </si>
  <si>
    <t>Work rate for herbicide spraying is a function of sprayer tank size.</t>
  </si>
  <si>
    <t>For spraying operations, the work rate is subsequently multiplied by the number of spraying days for a given crop.</t>
  </si>
  <si>
    <t>Work rate for sowing is a function of soil type, seed rate and machine (tractor) size.</t>
  </si>
  <si>
    <t>Work rate for combine harvesting/baling is a function of crop yield and size of combine harvester.</t>
  </si>
  <si>
    <t>Work rate for potato harvesting is a function of soil type.</t>
  </si>
  <si>
    <t>Work rate for sugar beet harvesting is function of soil type and yield.</t>
  </si>
  <si>
    <t>Delayed sowing is associated with yield penalty (% yield loss).</t>
  </si>
  <si>
    <t>A 6-year rotation is assumed in the model although the model can be run for shorter rotation length (maximum rotation length is 6 years).</t>
  </si>
  <si>
    <t>To run the model for multiple fields, the same machine size is assumed across fields.</t>
  </si>
  <si>
    <t>Crops included in the model are used as proxies when running the model for a crop not included in the model.</t>
  </si>
  <si>
    <t>Fuel price is assumed to be the price for red diesel (£/l).</t>
  </si>
  <si>
    <t>Model Details and Assumptions</t>
  </si>
  <si>
    <t>Dr Kwadjo Ahodo (main author) and Dr Alexa Varah (design), for The Black Grass Resistance Initiative (BGRI)</t>
  </si>
  <si>
    <t>Funding</t>
  </si>
  <si>
    <t>BBSRC and AHDB</t>
  </si>
  <si>
    <t>Contents</t>
  </si>
  <si>
    <t>BGRI Economic Model (BGRI-ECOMOD) - details and inputs</t>
  </si>
  <si>
    <t>Value(s)</t>
  </si>
  <si>
    <t>Label 1: 
Model input label</t>
  </si>
  <si>
    <t>Label 2: 
Model output label</t>
  </si>
  <si>
    <t>Black-grass Infestation</t>
  </si>
  <si>
    <t>Level of Infestation
(density state)</t>
  </si>
  <si>
    <t>dependent on the size of the baler, harrow or sugar beet harvester.</t>
  </si>
  <si>
    <t xml:space="preserve">For Baling, Harrowing and Sugar beet harvesting, the work rates are not </t>
  </si>
  <si>
    <r>
      <t xml:space="preserve">The work rate of an operation is based on the size of the </t>
    </r>
    <r>
      <rPr>
        <u/>
        <sz val="11"/>
        <color theme="9" tint="-0.499984740745262"/>
        <rFont val="Calibri"/>
        <family val="2"/>
        <scheme val="minor"/>
      </rPr>
      <t>first machine</t>
    </r>
    <r>
      <rPr>
        <sz val="11"/>
        <color theme="9" tint="-0.499984740745262"/>
        <rFont val="Calibri"/>
        <family val="2"/>
        <scheme val="minor"/>
      </rPr>
      <t xml:space="preserve"> in the system definition of that operation (</t>
    </r>
    <r>
      <rPr>
        <b/>
        <sz val="11"/>
        <color theme="9" tint="-0.499984740745262"/>
        <rFont val="Calibri"/>
        <family val="2"/>
        <scheme val="minor"/>
      </rPr>
      <t>FMSD</t>
    </r>
    <r>
      <rPr>
        <sz val="11"/>
        <color theme="9" tint="-0.499984740745262"/>
        <rFont val="Calibri"/>
        <family val="2"/>
        <scheme val="minor"/>
      </rPr>
      <t>).</t>
    </r>
  </si>
  <si>
    <t>Click to jump to sections:</t>
  </si>
  <si>
    <r>
      <t xml:space="preserve">The size of the combine harvester (measured in tonnes/hour) was derived on pro-rata basis based on information from </t>
    </r>
    <r>
      <rPr>
        <i/>
        <sz val="11"/>
        <color theme="9" tint="-0.499984740745262"/>
        <rFont val="Calibri"/>
        <family val="2"/>
        <scheme val="minor"/>
      </rPr>
      <t>The Agricultural Notebook</t>
    </r>
    <r>
      <rPr>
        <sz val="11"/>
        <color theme="9" tint="-0.499984740745262"/>
        <rFont val="Calibri"/>
        <family val="2"/>
        <scheme val="minor"/>
      </rPr>
      <t xml:space="preserve">. </t>
    </r>
  </si>
  <si>
    <t>It was estimated based on 90kW combine.</t>
  </si>
  <si>
    <t>and for labour as 0.56 times 3.</t>
  </si>
  <si>
    <t>† In BGRI-ECOMOD, the work rates for non-inversion tillage, light cultivation and sub-soiling are estimated based on the work rate of ploughing.</t>
  </si>
  <si>
    <r>
      <t xml:space="preserve">For example, the system definition of a harvesting operation for winter wheat is '1 </t>
    </r>
    <r>
      <rPr>
        <u/>
        <sz val="11"/>
        <color theme="9" tint="-0.499984740745262"/>
        <rFont val="Calibri"/>
        <family val="2"/>
        <scheme val="minor"/>
      </rPr>
      <t>combine harvester</t>
    </r>
    <r>
      <rPr>
        <sz val="11"/>
        <color theme="9" tint="-0.499984740745262"/>
        <rFont val="Calibri"/>
        <family val="2"/>
        <scheme val="minor"/>
      </rPr>
      <t>, 2 tractors and 3 labour'.</t>
    </r>
  </si>
  <si>
    <t>In BGRI-ECOMOD, the work rates for non-inversion tillage, light cultivation and sub-soiling are estimated based on the work rate of ploughing.</t>
  </si>
  <si>
    <r>
      <t>Cultivation Options</t>
    </r>
    <r>
      <rPr>
        <b/>
        <vertAlign val="superscript"/>
        <sz val="11"/>
        <color theme="9" tint="-0.499984740745262"/>
        <rFont val="Calibri"/>
        <family val="2"/>
        <scheme val="minor"/>
      </rPr>
      <t>†</t>
    </r>
  </si>
  <si>
    <t>Operations and Work rates</t>
  </si>
  <si>
    <t xml:space="preserve">As a result, the work rate is estimated based on the size of the combine harvester (say 0.56 h/ha): thus, the Work rate for the tractor is then estimated as 0.56 times 2, </t>
  </si>
  <si>
    <t>Work rate (h/ha)</t>
  </si>
  <si>
    <t>Reduction in Winter Wheat Yield 
(%)</t>
  </si>
  <si>
    <r>
      <t>Blackgrass Density 
(Plants per 400 (20×20) m</t>
    </r>
    <r>
      <rPr>
        <b/>
        <vertAlign val="superscript"/>
        <sz val="11"/>
        <color theme="0"/>
        <rFont val="Calibri"/>
        <family val="2"/>
      </rPr>
      <t>2</t>
    </r>
    <r>
      <rPr>
        <b/>
        <sz val="11"/>
        <color theme="0"/>
        <rFont val="Calibri"/>
        <family val="2"/>
      </rPr>
      <t>)</t>
    </r>
  </si>
  <si>
    <t>Work rates:</t>
  </si>
  <si>
    <t>wheat</t>
  </si>
  <si>
    <t>barley</t>
  </si>
  <si>
    <t>beans</t>
  </si>
  <si>
    <t>OSR</t>
  </si>
  <si>
    <t>potatoes &amp; beet</t>
  </si>
  <si>
    <t>linseed</t>
  </si>
  <si>
    <t>peas</t>
  </si>
  <si>
    <t>fallow</t>
  </si>
  <si>
    <t>cultivations</t>
  </si>
  <si>
    <t>back to top ↑</t>
  </si>
  <si>
    <r>
      <t>BGRI-ECOMOD is a farm- or field-level model developed to evaluate the economic consequences of changes in land use/farm management strategies aimed at black-grass (</t>
    </r>
    <r>
      <rPr>
        <i/>
        <sz val="11"/>
        <color theme="0"/>
        <rFont val="Calibri"/>
        <family val="2"/>
      </rPr>
      <t>Alopecurus myusoroides</t>
    </r>
    <r>
      <rPr>
        <sz val="11"/>
        <color theme="0"/>
        <rFont val="Calibri"/>
        <family val="2"/>
      </rPr>
      <t>) mitigation.
The model is capable of accommodating changes to farm management options such as crop types, length of rotation, tillage practices, seed rate and delayed sowing as well as yield penalties due to sub-optimal rotations, delayed sowing and black-grass infestation.</t>
    </r>
  </si>
  <si>
    <r>
      <rPr>
        <vertAlign val="superscript"/>
        <sz val="11"/>
        <color theme="9" tint="-0.499984740745262"/>
        <rFont val="Calibri"/>
        <family val="2"/>
      </rPr>
      <t>†</t>
    </r>
    <r>
      <rPr>
        <sz val="11"/>
        <color theme="9" tint="-0.499984740745262"/>
        <rFont val="Calibri"/>
        <family val="2"/>
      </rPr>
      <t xml:space="preserve"> letters in brackets are soil texture abbreviations used by the DSSAT Crop System Model.</t>
    </r>
  </si>
  <si>
    <r>
      <rPr>
        <b/>
        <sz val="10"/>
        <color theme="9" tint="-0.499984740745262"/>
        <rFont val="Calibri"/>
        <family val="2"/>
      </rPr>
      <t>* NB</t>
    </r>
    <r>
      <rPr>
        <sz val="10"/>
        <color theme="9" tint="-0.499984740745262"/>
        <rFont val="Calibri"/>
        <family val="2"/>
      </rPr>
      <t xml:space="preserve"> it may be necessary to format the soil index as text in the input .csv file so that they retain the two decimal places</t>
    </r>
  </si>
  <si>
    <t>Yield penalties associated with the level of black-grass infestation in a winter wheat field.</t>
  </si>
  <si>
    <t>Yield penalties due to black-grass infestation</t>
  </si>
  <si>
    <t>*</t>
  </si>
  <si>
    <t>soil *</t>
  </si>
  <si>
    <t>default †</t>
  </si>
  <si>
    <t>blackgrass ‡</t>
  </si>
  <si>
    <r>
      <t xml:space="preserve">‡ </t>
    </r>
    <r>
      <rPr>
        <b/>
        <sz val="11"/>
        <color theme="9" tint="-0.499984740745262"/>
        <rFont val="Calibri"/>
        <family val="2"/>
      </rPr>
      <t>N.B.</t>
    </r>
    <r>
      <rPr>
        <sz val="11"/>
        <color theme="9" tint="-0.499984740745262"/>
        <rFont val="Calibri"/>
        <family val="2"/>
      </rPr>
      <t xml:space="preserve"> make sure any fields where black-grass is absent are given here as 'low'</t>
    </r>
  </si>
  <si>
    <r>
      <t xml:space="preserve">† </t>
    </r>
    <r>
      <rPr>
        <b/>
        <sz val="11"/>
        <color theme="9" tint="-0.499984740745262"/>
        <rFont val="Calibri"/>
        <family val="2"/>
      </rPr>
      <t>N.B.</t>
    </r>
    <r>
      <rPr>
        <sz val="11"/>
        <color theme="9" tint="-0.499984740745262"/>
        <rFont val="Calibri"/>
        <family val="2"/>
      </rPr>
      <t xml:space="preserve"> "yes" only applicable if running the model for a single field</t>
    </r>
  </si>
  <si>
    <r>
      <t xml:space="preserve">A vector of length 6 of seed rates corresponding to crop set in the </t>
    </r>
    <r>
      <rPr>
        <b/>
        <sz val="11"/>
        <color theme="1"/>
        <rFont val="Calibri"/>
        <family val="2"/>
      </rPr>
      <t>crops</t>
    </r>
    <r>
      <rPr>
        <sz val="11"/>
        <color theme="1"/>
        <rFont val="Calibri"/>
        <family val="2"/>
      </rPr>
      <t xml:space="preserve"> vector (kg/ha)</t>
    </r>
  </si>
  <si>
    <r>
      <t xml:space="preserve">A vector of length 6 of N fertiliser rates corresponding to crop set in the </t>
    </r>
    <r>
      <rPr>
        <b/>
        <sz val="11"/>
        <color theme="1"/>
        <rFont val="Calibri"/>
        <family val="2"/>
      </rPr>
      <t>crops</t>
    </r>
    <r>
      <rPr>
        <sz val="11"/>
        <color theme="1"/>
        <rFont val="Calibri"/>
        <family val="2"/>
      </rPr>
      <t xml:space="preserve"> vector (kg[N]/ha)</t>
    </r>
  </si>
  <si>
    <r>
      <t xml:space="preserve">A vector of length 6 of P fertiliser rates corresponding to crop set in the </t>
    </r>
    <r>
      <rPr>
        <b/>
        <sz val="11"/>
        <color theme="1"/>
        <rFont val="Calibri"/>
        <family val="2"/>
      </rPr>
      <t>crops</t>
    </r>
    <r>
      <rPr>
        <sz val="11"/>
        <color theme="1"/>
        <rFont val="Calibri"/>
        <family val="2"/>
      </rPr>
      <t xml:space="preserve"> vector (kg[P]/ha)</t>
    </r>
  </si>
  <si>
    <r>
      <t xml:space="preserve">A vector of length 6 of K fertiliser rates corresponding to crop set in the </t>
    </r>
    <r>
      <rPr>
        <b/>
        <sz val="11"/>
        <color theme="1"/>
        <rFont val="Calibri"/>
        <family val="2"/>
      </rPr>
      <t>crops</t>
    </r>
    <r>
      <rPr>
        <sz val="11"/>
        <color theme="1"/>
        <rFont val="Calibri"/>
        <family val="2"/>
      </rPr>
      <t xml:space="preserve"> vector (kg[K]/ha)</t>
    </r>
  </si>
  <si>
    <r>
      <t xml:space="preserve">A vector of length 6 of the number of spraying days for each crop in years 1 to 6, and corresponding to </t>
    </r>
    <r>
      <rPr>
        <b/>
        <sz val="11"/>
        <color theme="1"/>
        <rFont val="Calibri"/>
        <family val="2"/>
      </rPr>
      <t xml:space="preserve">crops </t>
    </r>
    <r>
      <rPr>
        <sz val="11"/>
        <color theme="1"/>
        <rFont val="Calibri"/>
        <family val="2"/>
      </rPr>
      <t>set in the crops vector</t>
    </r>
  </si>
  <si>
    <r>
      <t xml:space="preserve">A vector of length 6 of crop prices corresponding to crop set in the </t>
    </r>
    <r>
      <rPr>
        <b/>
        <sz val="11"/>
        <color theme="1"/>
        <rFont val="Calibri"/>
        <family val="2"/>
      </rPr>
      <t>crops</t>
    </r>
    <r>
      <rPr>
        <sz val="11"/>
        <color theme="1"/>
        <rFont val="Calibri"/>
        <family val="2"/>
      </rPr>
      <t xml:space="preserve"> vector</t>
    </r>
  </si>
  <si>
    <r>
      <t xml:space="preserve">A vector of length 6 of crop yields corresponding to crop set in the </t>
    </r>
    <r>
      <rPr>
        <b/>
        <sz val="11"/>
        <color theme="1"/>
        <rFont val="Calibri"/>
        <family val="2"/>
      </rPr>
      <t>crops</t>
    </r>
    <r>
      <rPr>
        <sz val="11"/>
        <color theme="1"/>
        <rFont val="Calibri"/>
        <family val="2"/>
      </rPr>
      <t xml:space="preserve"> vector (if using the "estimate" option for yield, cropyield can be "NA")</t>
    </r>
  </si>
  <si>
    <r>
      <t xml:space="preserve">A vector of length 6 of seed prices corresponding to crop set in the </t>
    </r>
    <r>
      <rPr>
        <b/>
        <sz val="11"/>
        <color theme="1"/>
        <rFont val="Calibri"/>
        <family val="2"/>
      </rPr>
      <t>crops</t>
    </r>
    <r>
      <rPr>
        <sz val="11"/>
        <color theme="1"/>
        <rFont val="Calibri"/>
        <family val="2"/>
      </rPr>
      <t xml:space="preserve"> vector (see 'Crop Data' sheet)</t>
    </r>
  </si>
  <si>
    <r>
      <t xml:space="preserve">A vector of length 6 of herbicide prices corresponding to herbicide rates set in the </t>
    </r>
    <r>
      <rPr>
        <b/>
        <sz val="11"/>
        <color theme="1"/>
        <rFont val="Calibri"/>
        <family val="2"/>
      </rPr>
      <t>bgherbdose</t>
    </r>
    <r>
      <rPr>
        <sz val="11"/>
        <color theme="1"/>
        <rFont val="Calibri"/>
        <family val="2"/>
      </rPr>
      <t xml:space="preserve"> vector (see 'Crop Data' sheet)</t>
    </r>
  </si>
  <si>
    <r>
      <t xml:space="preserve">A vector of length 6 of herbicide prices corresponding to glyphosate rates set in the </t>
    </r>
    <r>
      <rPr>
        <b/>
        <sz val="11"/>
        <color theme="1"/>
        <rFont val="Calibri"/>
        <family val="2"/>
      </rPr>
      <t>glyphosatedose</t>
    </r>
    <r>
      <rPr>
        <sz val="11"/>
        <color theme="1"/>
        <rFont val="Calibri"/>
        <family val="2"/>
      </rPr>
      <t xml:space="preserve"> vector (see 'Crop Data' sheet)</t>
    </r>
  </si>
  <si>
    <t>A vector of length 5 of machine sizes. The sizes are in the following order: tractor, rollers, power harrow, sprayer tank and combine harvester</t>
  </si>
  <si>
    <t>Assumption for whether or not farm received Single Farm Payment (SFP); inputs are “yes” or “no” (£/ha) (see 'Soil Index &amp; Farm Data' sheet for subsidy value)</t>
  </si>
  <si>
    <r>
      <t xml:space="preserve">* </t>
    </r>
    <r>
      <rPr>
        <b/>
        <sz val="11"/>
        <color theme="9" tint="-0.499984740745262"/>
        <rFont val="Calibri"/>
        <family val="2"/>
      </rPr>
      <t>N.B.</t>
    </r>
    <r>
      <rPr>
        <sz val="11"/>
        <color theme="9" tint="-0.499984740745262"/>
        <rFont val="Calibri"/>
        <family val="2"/>
      </rPr>
      <t xml:space="preserve"> it may be necessary to format these indices as text to retain the two decimal places in the .csv file</t>
    </r>
  </si>
  <si>
    <t>Level of black-grass infestation (inputs are “low”, “medium”, “high” or “veryhigh”). See 'Yield Penalty | Black-grass' sheet for density measures.</t>
  </si>
  <si>
    <t>herbicides not specifically targeting black-grass, are included in the sundry costs associated with each crop).</t>
  </si>
  <si>
    <t xml:space="preserve">Herbicide application is assumed to be carried out due to black-grass infestation (costs of other chemicals i.e. fungicides, insecticides, growth regulators, and costs of </t>
  </si>
  <si>
    <t>Crops/activities in the model: winter wheat, spring wheat, winter barley, spring barley, winter oilseed rape, spring oilseed rape, winter beans, spring beans, peas,</t>
  </si>
  <si>
    <t>winter linseed, spring linseed, ware potato, sugarbeet and set-aside (fallow).</t>
  </si>
  <si>
    <t>Farm- or Field-specific Data</t>
  </si>
  <si>
    <t>Sugar beet Harvester</t>
  </si>
  <si>
    <t>Password</t>
  </si>
  <si>
    <t>All sheets are locked to prevent inadvertent changes. Use the password 'alopecurus' to unlock sheets.</t>
  </si>
  <si>
    <t>Crop</t>
  </si>
  <si>
    <t>Year 2</t>
  </si>
  <si>
    <t>Year 3</t>
  </si>
  <si>
    <t>Year 4</t>
  </si>
  <si>
    <t>Year 5</t>
  </si>
  <si>
    <t>Continuous Cropping</t>
  </si>
  <si>
    <t>Winter wheat following a barley crop</t>
  </si>
  <si>
    <t>Winter wheat following set-aside</t>
  </si>
  <si>
    <t>Spring wheat following a barley crop</t>
  </si>
  <si>
    <t>Spring wheat following set-aside</t>
  </si>
  <si>
    <t>Winter barley following a wheat crop</t>
  </si>
  <si>
    <t>Winter barley following set-aside</t>
  </si>
  <si>
    <t>NA or 100</t>
  </si>
  <si>
    <t>Such sequences are not allowed or encouraged</t>
  </si>
  <si>
    <t>Spring barley following a wheat crop</t>
  </si>
  <si>
    <t>Spring barley following set-aside</t>
  </si>
  <si>
    <t>Winter wheat following sugar beet</t>
  </si>
  <si>
    <t>Spring wheat following sugar beet</t>
  </si>
  <si>
    <t>Ware potatoes following sugar beet</t>
  </si>
  <si>
    <t>Winter oilseed rape following a beans crop</t>
  </si>
  <si>
    <t>Winter oilseed rape following sugar beet</t>
  </si>
  <si>
    <t>Winter oilseed rape following a linseed crop</t>
  </si>
  <si>
    <t>Spring oilseed rape following a beans crop</t>
  </si>
  <si>
    <t>Spring oilseed rape following sugar beet</t>
  </si>
  <si>
    <t>Winter linseed following a beans crop</t>
  </si>
  <si>
    <t>Winter linseed following sugar beet</t>
  </si>
  <si>
    <t>Spring linseed following a beans crop</t>
  </si>
  <si>
    <t>Spring linseed following sugar beet</t>
  </si>
  <si>
    <t>Sugar beet following a potato crop</t>
  </si>
  <si>
    <t>Crop Sequence</t>
  </si>
  <si>
    <t>Rotations</t>
  </si>
  <si>
    <t>Dried peas following a brassica crop 
(e.g. oilseed rape)</t>
  </si>
  <si>
    <t>Sugar beet following a brassica crop 
(e.g. oilseed rape)</t>
  </si>
  <si>
    <t>Spring beans following a brassica crop 
(e.g. oilseed rape)</t>
  </si>
  <si>
    <t>Winter beans following a brassica crop 
(e.g. oilseed rape)</t>
  </si>
  <si>
    <t>Winter wheat following a brassica crop 
(e.g. oilseed rape)</t>
  </si>
  <si>
    <r>
      <rPr>
        <b/>
        <sz val="9"/>
        <color theme="9" tint="-0.499984740745262"/>
        <rFont val="Calibri"/>
        <family val="2"/>
        <scheme val="minor"/>
      </rPr>
      <t>Note:</t>
    </r>
    <r>
      <rPr>
        <sz val="9"/>
        <color theme="9" tint="-0.499984740745262"/>
        <rFont val="Calibri"/>
        <family val="2"/>
        <scheme val="minor"/>
      </rPr>
      <t xml:space="preserve"> Due to lack of data on years beyond 5 years, yield penalties beyond 5 years were assumed to be equal to yield penalties in year 5. For ware potatoes, winter and spring oilseed rape, winter and spring linseed and sugar beet, successive or continuous cropping is not allowed or encouraged due possibility of disease build-up. In these cases, 100% penalty is applied (see adjacent table).</t>
    </r>
  </si>
  <si>
    <t>Black-grass infestation causes yield loss in winter wheat fields, and a level of infestation (black-grass density state) is associated with a yield penalty (% yield loss).</t>
  </si>
  <si>
    <t>Two categories of herbicide for control of black-grass were assumed: total herbicides (‘glyphosate’) and selective herbicides (‘bgherb’).</t>
  </si>
  <si>
    <t>Contact</t>
  </si>
  <si>
    <t>For queries contact alexa.varah@ioz.ac.uk</t>
  </si>
  <si>
    <t>Herbicide cost (£/ha) = ('bgherb' application rate (l/ha) × bgherb price (£/l)) + ('glyphosate' application rate (l/ha) × (glyphosate price (£/l))</t>
  </si>
  <si>
    <t>Herb Price</t>
  </si>
  <si>
    <t>BG herb</t>
  </si>
  <si>
    <r>
      <t xml:space="preserve">A vector of length 6 of rates of selective herbicide targeting black-grass ('bgherb') in years 1 to 6 corresponding to crop set in the </t>
    </r>
    <r>
      <rPr>
        <b/>
        <sz val="11"/>
        <color theme="1"/>
        <rFont val="Calibri"/>
        <family val="2"/>
      </rPr>
      <t>crops</t>
    </r>
    <r>
      <rPr>
        <sz val="11"/>
        <color theme="1"/>
        <rFont val="Calibri"/>
        <family val="2"/>
      </rPr>
      <t xml:space="preserve"> vector (l/ha)</t>
    </r>
  </si>
  <si>
    <r>
      <t xml:space="preserve">A vector of length 6 of rates of total herbicide ('glyphosate') in years 1 to 6 corresponding to crop set in the </t>
    </r>
    <r>
      <rPr>
        <b/>
        <sz val="11"/>
        <color theme="1"/>
        <rFont val="Calibri"/>
        <family val="2"/>
      </rPr>
      <t>crops</t>
    </r>
    <r>
      <rPr>
        <sz val="11"/>
        <color theme="1"/>
        <rFont val="Calibri"/>
        <family val="2"/>
      </rPr>
      <t xml:space="preserve"> vector (l/ha)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</si>
</sst>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7" x14ac:knownFonts="1">
    <font>
      <sz val="12"/>
      <color theme="1"/>
      <name val="Calibri"/>
      <family val="2"/>
      <scheme val="minor"/>
    </font>
    <font>
      <sz val="11"/>
      <color theme="1"/>
      <name val="Calibri"/>
      <family val="2"/>
      <scheme val="minor"/>
    </font>
    <font>
      <sz val="11"/>
      <color theme="1"/>
      <name val="Cambria"/>
      <family val="1"/>
    </font>
    <font>
      <b/>
      <sz val="10"/>
      <color indexed="81"/>
      <name val="Calibri"/>
      <family val="2"/>
    </font>
    <font>
      <sz val="10"/>
      <color indexed="81"/>
      <name val="Calibri"/>
      <family val="2"/>
    </font>
    <font>
      <sz val="9"/>
      <color theme="1"/>
      <name val="Calibri"/>
      <family val="2"/>
    </font>
    <font>
      <sz val="12"/>
      <color theme="1"/>
      <name val="Calibri"/>
      <family val="2"/>
    </font>
    <font>
      <sz val="10"/>
      <color indexed="81"/>
      <name val="Courier New"/>
      <family val="3"/>
    </font>
    <font>
      <i/>
      <sz val="10"/>
      <color indexed="81"/>
      <name val="Calibri"/>
      <family val="2"/>
    </font>
    <font>
      <b/>
      <sz val="11"/>
      <color theme="1"/>
      <name val="Calibri"/>
      <family val="2"/>
    </font>
    <font>
      <sz val="11"/>
      <color theme="1"/>
      <name val="Calibri"/>
      <family val="2"/>
    </font>
    <font>
      <b/>
      <u/>
      <sz val="12"/>
      <color rgb="FFC00000"/>
      <name val="Calibri"/>
      <family val="2"/>
    </font>
    <font>
      <b/>
      <u/>
      <sz val="11"/>
      <color rgb="FF0432FF"/>
      <name val="Calibri"/>
      <family val="2"/>
    </font>
    <font>
      <b/>
      <sz val="11"/>
      <color rgb="FF0432FF"/>
      <name val="Calibri"/>
      <family val="2"/>
    </font>
    <font>
      <sz val="11"/>
      <color rgb="FFC00000"/>
      <name val="Calibri"/>
      <family val="2"/>
    </font>
    <font>
      <sz val="11"/>
      <color rgb="FFFF0000"/>
      <name val="Calibri"/>
      <family val="2"/>
    </font>
    <font>
      <b/>
      <u/>
      <sz val="11"/>
      <color rgb="FFC00000"/>
      <name val="Calibri"/>
      <family val="2"/>
    </font>
    <font>
      <sz val="11"/>
      <color theme="9" tint="0.79998168889431442"/>
      <name val="Calibri"/>
      <family val="2"/>
    </font>
    <font>
      <sz val="11"/>
      <name val="Calibri"/>
      <family val="2"/>
    </font>
    <font>
      <b/>
      <u/>
      <sz val="11"/>
      <color rgb="FFFF0000"/>
      <name val="Calibri"/>
      <family val="2"/>
    </font>
    <font>
      <sz val="11"/>
      <color rgb="FF0432FF"/>
      <name val="Calibri"/>
      <family val="2"/>
    </font>
    <font>
      <u/>
      <sz val="12"/>
      <color theme="10"/>
      <name val="Calibri"/>
      <family val="2"/>
      <scheme val="minor"/>
    </font>
    <font>
      <sz val="11"/>
      <color rgb="FFC00000"/>
      <name val="Calibri"/>
      <family val="2"/>
      <scheme val="minor"/>
    </font>
    <font>
      <sz val="11"/>
      <color theme="1"/>
      <name val="Calibri"/>
      <family val="2"/>
      <scheme val="minor"/>
    </font>
    <font>
      <sz val="11"/>
      <name val="Calibri"/>
      <family val="2"/>
      <scheme val="minor"/>
    </font>
    <font>
      <b/>
      <sz val="11"/>
      <color rgb="FFC00000"/>
      <name val="Calibri"/>
      <family val="2"/>
      <scheme val="minor"/>
    </font>
    <font>
      <b/>
      <u/>
      <sz val="11"/>
      <color rgb="FFC00000"/>
      <name val="Calibri"/>
      <family val="2"/>
      <scheme val="minor"/>
    </font>
    <font>
      <b/>
      <u/>
      <sz val="11"/>
      <color rgb="FF0432FF"/>
      <name val="Calibri"/>
      <family val="2"/>
      <scheme val="minor"/>
    </font>
    <font>
      <b/>
      <sz val="11"/>
      <color rgb="FFFF0000"/>
      <name val="Calibri"/>
      <family val="2"/>
    </font>
    <font>
      <vertAlign val="superscript"/>
      <sz val="11"/>
      <color theme="1"/>
      <name val="Cambria"/>
      <family val="1"/>
    </font>
    <font>
      <b/>
      <sz val="11"/>
      <color theme="0"/>
      <name val="Calibri"/>
      <family val="2"/>
      <scheme val="minor"/>
    </font>
    <font>
      <sz val="11"/>
      <color theme="0"/>
      <name val="Calibri"/>
      <family val="2"/>
      <scheme val="minor"/>
    </font>
    <font>
      <b/>
      <sz val="11"/>
      <color theme="0"/>
      <name val="Calibri"/>
      <family val="2"/>
    </font>
    <font>
      <b/>
      <vertAlign val="superscript"/>
      <sz val="11"/>
      <color theme="0"/>
      <name val="Calibri"/>
      <family val="2"/>
    </font>
    <font>
      <b/>
      <u/>
      <sz val="12"/>
      <color theme="9" tint="-0.499984740745262"/>
      <name val="Calibri"/>
      <family val="2"/>
    </font>
    <font>
      <sz val="11"/>
      <color theme="9" tint="-0.499984740745262"/>
      <name val="Calibri"/>
      <family val="2"/>
    </font>
    <font>
      <b/>
      <sz val="12"/>
      <color theme="9" tint="-0.499984740745262"/>
      <name val="Calibri"/>
      <family val="2"/>
    </font>
    <font>
      <sz val="11"/>
      <color theme="0"/>
      <name val="Calibri"/>
      <family val="2"/>
    </font>
    <font>
      <sz val="12"/>
      <color theme="9" tint="-0.499984740745262"/>
      <name val="Calibri"/>
      <family val="2"/>
    </font>
    <font>
      <b/>
      <sz val="12"/>
      <color theme="9" tint="-0.499984740745262"/>
      <name val="Calibri"/>
      <family val="2"/>
      <scheme val="minor"/>
    </font>
    <font>
      <sz val="11"/>
      <color theme="9" tint="-0.499984740745262"/>
      <name val="Calibri"/>
      <family val="2"/>
      <scheme val="minor"/>
    </font>
    <font>
      <b/>
      <vertAlign val="superscript"/>
      <sz val="11"/>
      <color theme="9" tint="-0.499984740745262"/>
      <name val="Calibri"/>
      <family val="2"/>
      <scheme val="minor"/>
    </font>
    <font>
      <b/>
      <u/>
      <sz val="11"/>
      <color theme="9" tint="-0.499984740745262"/>
      <name val="Calibri"/>
      <family val="2"/>
      <scheme val="minor"/>
    </font>
    <font>
      <u/>
      <sz val="11"/>
      <color theme="9" tint="-0.499984740745262"/>
      <name val="Calibri"/>
      <family val="2"/>
      <scheme val="minor"/>
    </font>
    <font>
      <i/>
      <sz val="11"/>
      <color theme="9" tint="-0.499984740745262"/>
      <name val="Calibri"/>
      <family val="2"/>
      <scheme val="minor"/>
    </font>
    <font>
      <b/>
      <u/>
      <sz val="12"/>
      <color theme="9" tint="-0.499984740745262"/>
      <name val="Calibri"/>
      <family val="2"/>
      <scheme val="minor"/>
    </font>
    <font>
      <b/>
      <sz val="11"/>
      <color theme="9" tint="-0.499984740745262"/>
      <name val="Calibri"/>
      <family val="2"/>
      <scheme val="minor"/>
    </font>
    <font>
      <sz val="10"/>
      <color theme="9" tint="-0.499984740745262"/>
      <name val="Calibri"/>
      <family val="2"/>
      <scheme val="minor"/>
    </font>
    <font>
      <b/>
      <sz val="12"/>
      <color theme="0"/>
      <name val="Calibri"/>
      <family val="2"/>
    </font>
    <font>
      <i/>
      <sz val="11"/>
      <color theme="0"/>
      <name val="Calibri"/>
      <family val="2"/>
    </font>
    <font>
      <b/>
      <sz val="11"/>
      <color theme="9" tint="-0.499984740745262"/>
      <name val="Calibri"/>
      <family val="2"/>
    </font>
    <font>
      <vertAlign val="superscript"/>
      <sz val="11"/>
      <color theme="9" tint="-0.499984740745262"/>
      <name val="Calibri"/>
      <family val="2"/>
    </font>
    <font>
      <sz val="10"/>
      <color theme="9" tint="-0.499984740745262"/>
      <name val="Calibri"/>
      <family val="2"/>
    </font>
    <font>
      <b/>
      <sz val="10"/>
      <color theme="9" tint="-0.499984740745262"/>
      <name val="Calibri"/>
      <family val="2"/>
    </font>
    <font>
      <b/>
      <sz val="10"/>
      <color theme="1"/>
      <name val="Calibri"/>
      <family val="2"/>
      <scheme val="minor"/>
    </font>
    <font>
      <sz val="9"/>
      <color theme="9" tint="-0.499984740745262"/>
      <name val="Calibri"/>
      <family val="2"/>
      <scheme val="minor"/>
    </font>
    <font>
      <b/>
      <sz val="9"/>
      <color theme="9" tint="-0.499984740745262"/>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rgb="FFECF5E7"/>
        <bgColor indexed="64"/>
      </patternFill>
    </fill>
  </fills>
  <borders count="18">
    <border>
      <left/>
      <right/>
      <top/>
      <bottom/>
      <diagonal/>
    </border>
    <border>
      <left/>
      <right/>
      <top/>
      <bottom style="thick">
        <color theme="0"/>
      </bottom>
      <diagonal/>
    </border>
    <border>
      <left/>
      <right style="thick">
        <color theme="0"/>
      </right>
      <top/>
      <bottom/>
      <diagonal/>
    </border>
    <border>
      <left/>
      <right style="thick">
        <color theme="0"/>
      </right>
      <top/>
      <bottom style="thick">
        <color theme="0"/>
      </bottom>
      <diagonal/>
    </border>
    <border>
      <left/>
      <right style="thick">
        <color theme="0"/>
      </right>
      <top style="thin">
        <color theme="0"/>
      </top>
      <bottom style="thin">
        <color theme="0"/>
      </bottom>
      <diagonal/>
    </border>
    <border>
      <left style="thick">
        <color theme="0"/>
      </left>
      <right/>
      <top style="thin">
        <color theme="0"/>
      </top>
      <bottom style="thin">
        <color theme="0"/>
      </bottom>
      <diagonal/>
    </border>
    <border>
      <left/>
      <right/>
      <top style="thin">
        <color theme="0"/>
      </top>
      <bottom style="thin">
        <color theme="0"/>
      </bottom>
      <diagonal/>
    </border>
    <border>
      <left/>
      <right style="thick">
        <color theme="0"/>
      </right>
      <top style="thick">
        <color theme="0"/>
      </top>
      <bottom style="thin">
        <color theme="0"/>
      </bottom>
      <diagonal/>
    </border>
    <border>
      <left/>
      <right style="thick">
        <color theme="0"/>
      </right>
      <top style="thick">
        <color theme="0"/>
      </top>
      <bottom/>
      <diagonal/>
    </border>
    <border>
      <left/>
      <right style="thick">
        <color theme="0"/>
      </right>
      <top/>
      <bottom style="thin">
        <color theme="0"/>
      </bottom>
      <diagonal/>
    </border>
    <border>
      <left style="thick">
        <color theme="0"/>
      </left>
      <right/>
      <top/>
      <bottom style="thin">
        <color theme="0"/>
      </bottom>
      <diagonal/>
    </border>
    <border>
      <left/>
      <right/>
      <top/>
      <bottom style="thin">
        <color theme="0"/>
      </bottom>
      <diagonal/>
    </border>
    <border>
      <left style="thick">
        <color theme="0"/>
      </left>
      <right/>
      <top/>
      <bottom style="thick">
        <color theme="0"/>
      </bottom>
      <diagonal/>
    </border>
    <border>
      <left style="thick">
        <color theme="0"/>
      </left>
      <right style="thick">
        <color theme="0"/>
      </right>
      <top/>
      <bottom style="thick">
        <color theme="0"/>
      </bottom>
      <diagonal/>
    </border>
    <border>
      <left/>
      <right/>
      <top style="thin">
        <color theme="0"/>
      </top>
      <bottom style="thick">
        <color theme="0"/>
      </bottom>
      <diagonal/>
    </border>
    <border>
      <left style="thick">
        <color theme="0"/>
      </left>
      <right/>
      <top style="thin">
        <color theme="0"/>
      </top>
      <bottom style="thick">
        <color theme="0"/>
      </bottom>
      <diagonal/>
    </border>
    <border>
      <left/>
      <right/>
      <top style="thick">
        <color theme="0"/>
      </top>
      <bottom style="thin">
        <color theme="0"/>
      </bottom>
      <diagonal/>
    </border>
    <border>
      <left/>
      <right/>
      <top style="thin">
        <color theme="0"/>
      </top>
      <bottom/>
      <diagonal/>
    </border>
  </borders>
  <cellStyleXfs count="2">
    <xf numFmtId="0" fontId="0" fillId="0" borderId="0"/>
    <xf numFmtId="0" fontId="21" fillId="0" borderId="0" applyNumberFormat="0" applyFill="0" applyBorder="0" applyAlignment="0" applyProtection="0"/>
  </cellStyleXfs>
  <cellXfs count="217">
    <xf numFmtId="0" fontId="0" fillId="0" borderId="0" xfId="0"/>
    <xf numFmtId="1" fontId="10" fillId="2" borderId="0" xfId="0" applyNumberFormat="1" applyFont="1" applyFill="1" applyAlignment="1">
      <alignment horizontal="left"/>
    </xf>
    <xf numFmtId="0" fontId="10" fillId="2" borderId="0" xfId="0" applyFont="1" applyFill="1"/>
    <xf numFmtId="0" fontId="10" fillId="2" borderId="0" xfId="0" applyFont="1" applyFill="1" applyAlignment="1">
      <alignment vertical="center"/>
    </xf>
    <xf numFmtId="1" fontId="9" fillId="2" borderId="0" xfId="0" applyNumberFormat="1" applyFont="1" applyFill="1" applyAlignment="1">
      <alignment horizontal="left"/>
    </xf>
    <xf numFmtId="0" fontId="10" fillId="2" borderId="0" xfId="0" applyFont="1" applyFill="1" applyAlignment="1">
      <alignment horizontal="left" vertical="top" wrapText="1"/>
    </xf>
    <xf numFmtId="0" fontId="16" fillId="2" borderId="0" xfId="0" applyFont="1" applyFill="1"/>
    <xf numFmtId="0" fontId="10" fillId="0" borderId="0" xfId="0" applyFont="1"/>
    <xf numFmtId="0" fontId="10" fillId="5" borderId="2" xfId="0" applyFont="1" applyFill="1" applyBorder="1" applyAlignment="1">
      <alignment vertical="center"/>
    </xf>
    <xf numFmtId="0" fontId="10" fillId="5" borderId="0" xfId="0" applyFont="1" applyFill="1" applyAlignment="1">
      <alignment horizontal="right" vertical="center"/>
    </xf>
    <xf numFmtId="0" fontId="10" fillId="6" borderId="0" xfId="0" applyFont="1" applyFill="1"/>
    <xf numFmtId="0" fontId="10" fillId="6" borderId="0" xfId="0" applyFont="1" applyFill="1" applyAlignment="1">
      <alignment vertical="center"/>
    </xf>
    <xf numFmtId="0" fontId="10" fillId="5" borderId="5" xfId="0" applyFont="1" applyFill="1" applyBorder="1"/>
    <xf numFmtId="0" fontId="10" fillId="5" borderId="6" xfId="0" applyFont="1" applyFill="1" applyBorder="1"/>
    <xf numFmtId="2" fontId="10" fillId="5" borderId="6" xfId="0" applyNumberFormat="1" applyFont="1" applyFill="1" applyBorder="1"/>
    <xf numFmtId="1" fontId="10" fillId="5" borderId="6" xfId="0" applyNumberFormat="1" applyFont="1" applyFill="1" applyBorder="1"/>
    <xf numFmtId="0" fontId="18" fillId="5" borderId="5" xfId="0" applyFont="1" applyFill="1" applyBorder="1" applyAlignment="1">
      <alignment wrapText="1"/>
    </xf>
    <xf numFmtId="0" fontId="10" fillId="5" borderId="6" xfId="0" quotePrefix="1" applyFont="1" applyFill="1" applyBorder="1" applyAlignment="1">
      <alignment horizontal="right"/>
    </xf>
    <xf numFmtId="0" fontId="10" fillId="5" borderId="10" xfId="0" applyFont="1" applyFill="1" applyBorder="1"/>
    <xf numFmtId="0" fontId="10" fillId="5" borderId="11" xfId="0" applyFont="1" applyFill="1" applyBorder="1"/>
    <xf numFmtId="0" fontId="10" fillId="5" borderId="6" xfId="0" applyFont="1" applyFill="1" applyBorder="1" applyAlignment="1">
      <alignment horizontal="right"/>
    </xf>
    <xf numFmtId="0" fontId="10" fillId="5" borderId="11" xfId="0" applyFont="1" applyFill="1" applyBorder="1" applyAlignment="1">
      <alignment horizontal="right"/>
    </xf>
    <xf numFmtId="0" fontId="10" fillId="5" borderId="7" xfId="0" applyFont="1" applyFill="1" applyBorder="1"/>
    <xf numFmtId="0" fontId="10" fillId="5" borderId="4" xfId="0" applyFont="1" applyFill="1" applyBorder="1"/>
    <xf numFmtId="0" fontId="32" fillId="4" borderId="3" xfId="0" applyFont="1" applyFill="1" applyBorder="1"/>
    <xf numFmtId="0" fontId="32" fillId="4" borderId="3" xfId="0" applyFont="1" applyFill="1" applyBorder="1" applyAlignment="1">
      <alignment vertical="top" wrapText="1"/>
    </xf>
    <xf numFmtId="0" fontId="6" fillId="6" borderId="0" xfId="0" applyFont="1" applyFill="1"/>
    <xf numFmtId="0" fontId="14" fillId="6" borderId="0" xfId="0" applyFont="1" applyFill="1" applyAlignment="1">
      <alignment vertical="top" wrapText="1"/>
    </xf>
    <xf numFmtId="0" fontId="6" fillId="6" borderId="0" xfId="0" applyFont="1" applyFill="1" applyAlignment="1">
      <alignment horizontal="right"/>
    </xf>
    <xf numFmtId="0" fontId="36" fillId="2" borderId="0" xfId="0" applyFont="1" applyFill="1"/>
    <xf numFmtId="0" fontId="10" fillId="5" borderId="9" xfId="0" applyFont="1" applyFill="1" applyBorder="1"/>
    <xf numFmtId="0" fontId="35" fillId="2" borderId="0" xfId="0" applyFont="1" applyFill="1" applyAlignment="1">
      <alignment horizontal="left" vertical="top"/>
    </xf>
    <xf numFmtId="0" fontId="20" fillId="2" borderId="0" xfId="0" applyFont="1" applyFill="1" applyAlignment="1">
      <alignment vertical="top"/>
    </xf>
    <xf numFmtId="0" fontId="20" fillId="6" borderId="0" xfId="0" applyFont="1" applyFill="1" applyAlignment="1">
      <alignment vertical="top"/>
    </xf>
    <xf numFmtId="0" fontId="35" fillId="2" borderId="0" xfId="0" applyFont="1" applyFill="1" applyAlignment="1">
      <alignment vertical="top"/>
    </xf>
    <xf numFmtId="0" fontId="10" fillId="2" borderId="0" xfId="0" applyFont="1" applyFill="1" applyAlignment="1">
      <alignment vertical="top"/>
    </xf>
    <xf numFmtId="0" fontId="10" fillId="6" borderId="0" xfId="0" applyFont="1" applyFill="1" applyAlignment="1">
      <alignment vertical="top"/>
    </xf>
    <xf numFmtId="0" fontId="32" fillId="4" borderId="1" xfId="0" applyFont="1" applyFill="1" applyBorder="1"/>
    <xf numFmtId="0" fontId="32" fillId="4" borderId="3" xfId="0" applyFont="1" applyFill="1" applyBorder="1" applyAlignment="1">
      <alignment vertical="center"/>
    </xf>
    <xf numFmtId="0" fontId="32" fillId="4" borderId="1" xfId="0" applyFont="1" applyFill="1" applyBorder="1" applyAlignment="1">
      <alignment vertical="center"/>
    </xf>
    <xf numFmtId="0" fontId="6" fillId="6" borderId="0" xfId="0" applyFont="1" applyFill="1" applyAlignment="1">
      <alignment vertical="center"/>
    </xf>
    <xf numFmtId="0" fontId="12" fillId="0" borderId="0" xfId="0" applyFont="1"/>
    <xf numFmtId="0" fontId="14" fillId="0" borderId="0" xfId="0" applyFont="1"/>
    <xf numFmtId="0" fontId="13" fillId="0" borderId="0" xfId="0" applyFont="1"/>
    <xf numFmtId="0" fontId="9" fillId="0" borderId="0" xfId="0" applyFont="1"/>
    <xf numFmtId="1" fontId="10" fillId="0" borderId="0" xfId="0" applyNumberFormat="1" applyFont="1" applyAlignment="1">
      <alignment horizontal="left"/>
    </xf>
    <xf numFmtId="0" fontId="6" fillId="0" borderId="0" xfId="0" applyFont="1"/>
    <xf numFmtId="0" fontId="36" fillId="0" borderId="0" xfId="0" applyFont="1"/>
    <xf numFmtId="0" fontId="34" fillId="0" borderId="0" xfId="0" applyFont="1"/>
    <xf numFmtId="0" fontId="38" fillId="0" borderId="0" xfId="0" applyFont="1"/>
    <xf numFmtId="0" fontId="15" fillId="0" borderId="0" xfId="0" applyFont="1" applyAlignment="1">
      <alignment horizontal="left"/>
    </xf>
    <xf numFmtId="0" fontId="37" fillId="0" borderId="0" xfId="0" applyFont="1"/>
    <xf numFmtId="0" fontId="32" fillId="4" borderId="1" xfId="0" applyFont="1" applyFill="1" applyBorder="1" applyAlignment="1">
      <alignment wrapText="1"/>
    </xf>
    <xf numFmtId="1" fontId="10" fillId="5" borderId="11" xfId="0" applyNumberFormat="1" applyFont="1" applyFill="1" applyBorder="1" applyAlignment="1">
      <alignment horizontal="left"/>
    </xf>
    <xf numFmtId="1" fontId="10" fillId="5" borderId="6" xfId="0" applyNumberFormat="1" applyFont="1" applyFill="1" applyBorder="1" applyAlignment="1">
      <alignment horizontal="left"/>
    </xf>
    <xf numFmtId="0" fontId="10" fillId="4" borderId="1" xfId="0" applyFont="1" applyFill="1" applyBorder="1"/>
    <xf numFmtId="0" fontId="18" fillId="5" borderId="4" xfId="0" applyFont="1" applyFill="1" applyBorder="1" applyAlignment="1">
      <alignment wrapText="1"/>
    </xf>
    <xf numFmtId="0" fontId="0" fillId="6" borderId="0" xfId="0" applyFill="1"/>
    <xf numFmtId="0" fontId="14" fillId="6" borderId="0" xfId="0" applyFont="1" applyFill="1"/>
    <xf numFmtId="0" fontId="23" fillId="5" borderId="11" xfId="0" applyFont="1" applyFill="1" applyBorder="1"/>
    <xf numFmtId="0" fontId="23" fillId="5" borderId="6" xfId="0" applyFont="1" applyFill="1" applyBorder="1"/>
    <xf numFmtId="0" fontId="23" fillId="5" borderId="9" xfId="0" applyFont="1" applyFill="1" applyBorder="1"/>
    <xf numFmtId="0" fontId="23" fillId="5" borderId="4" xfId="0" applyFont="1" applyFill="1" applyBorder="1"/>
    <xf numFmtId="0" fontId="2" fillId="6" borderId="0" xfId="0" applyFont="1" applyFill="1"/>
    <xf numFmtId="0" fontId="30" fillId="4" borderId="3" xfId="0" applyFont="1" applyFill="1" applyBorder="1"/>
    <xf numFmtId="0" fontId="30" fillId="4" borderId="1" xfId="0" applyFont="1" applyFill="1" applyBorder="1"/>
    <xf numFmtId="0" fontId="30" fillId="4" borderId="1" xfId="0" applyFont="1" applyFill="1" applyBorder="1" applyAlignment="1">
      <alignment horizontal="right"/>
    </xf>
    <xf numFmtId="0" fontId="30" fillId="4" borderId="3" xfId="0" applyFont="1" applyFill="1" applyBorder="1" applyAlignment="1">
      <alignment vertical="center"/>
    </xf>
    <xf numFmtId="0" fontId="30" fillId="4" borderId="1" xfId="0" applyFont="1" applyFill="1" applyBorder="1" applyAlignment="1">
      <alignment vertical="center"/>
    </xf>
    <xf numFmtId="0" fontId="30" fillId="4" borderId="1" xfId="0" applyFont="1" applyFill="1" applyBorder="1" applyAlignment="1">
      <alignment horizontal="right" vertical="center"/>
    </xf>
    <xf numFmtId="0" fontId="39" fillId="0" borderId="0" xfId="0" applyFont="1"/>
    <xf numFmtId="0" fontId="45" fillId="0" borderId="0" xfId="0" applyFont="1"/>
    <xf numFmtId="0" fontId="23" fillId="0" borderId="0" xfId="0" applyFont="1"/>
    <xf numFmtId="0" fontId="46" fillId="0" borderId="0" xfId="0" applyFont="1"/>
    <xf numFmtId="0" fontId="40" fillId="0" borderId="0" xfId="0" applyFont="1"/>
    <xf numFmtId="0" fontId="22" fillId="0" borderId="0" xfId="0" applyFont="1" applyAlignment="1">
      <alignment horizontal="right"/>
    </xf>
    <xf numFmtId="0" fontId="25" fillId="0" borderId="0" xfId="0" applyFont="1"/>
    <xf numFmtId="0" fontId="39" fillId="0" borderId="0" xfId="0" applyFont="1" applyAlignment="1">
      <alignment vertical="center"/>
    </xf>
    <xf numFmtId="0" fontId="26" fillId="0" borderId="0" xfId="0" applyFont="1"/>
    <xf numFmtId="0" fontId="22" fillId="0" borderId="0" xfId="0" applyFont="1"/>
    <xf numFmtId="0" fontId="24" fillId="0" borderId="0" xfId="0" applyFont="1"/>
    <xf numFmtId="1" fontId="23" fillId="0" borderId="0" xfId="0" applyNumberFormat="1" applyFont="1"/>
    <xf numFmtId="164" fontId="23" fillId="0" borderId="0" xfId="0" applyNumberFormat="1" applyFont="1"/>
    <xf numFmtId="0" fontId="43" fillId="0" borderId="0" xfId="0" applyFont="1"/>
    <xf numFmtId="0" fontId="27" fillId="0" borderId="0" xfId="0" applyFont="1"/>
    <xf numFmtId="0" fontId="30" fillId="4" borderId="1" xfId="0" applyFont="1" applyFill="1" applyBorder="1" applyAlignment="1">
      <alignment horizontal="left"/>
    </xf>
    <xf numFmtId="0" fontId="31" fillId="4" borderId="1" xfId="0" applyFont="1" applyFill="1" applyBorder="1"/>
    <xf numFmtId="0" fontId="24" fillId="5" borderId="4" xfId="0" applyFont="1" applyFill="1" applyBorder="1"/>
    <xf numFmtId="0" fontId="23" fillId="6" borderId="0" xfId="0" applyFont="1" applyFill="1"/>
    <xf numFmtId="0" fontId="40" fillId="6" borderId="0" xfId="0" applyFont="1" applyFill="1"/>
    <xf numFmtId="2" fontId="23" fillId="0" borderId="0" xfId="0" applyNumberFormat="1" applyFont="1"/>
    <xf numFmtId="0" fontId="47" fillId="0" borderId="0" xfId="0" applyFont="1" applyAlignment="1">
      <alignment vertical="center"/>
    </xf>
    <xf numFmtId="1" fontId="23" fillId="5" borderId="5" xfId="0" applyNumberFormat="1" applyFont="1" applyFill="1" applyBorder="1"/>
    <xf numFmtId="164" fontId="23" fillId="5" borderId="5" xfId="0" applyNumberFormat="1" applyFont="1" applyFill="1" applyBorder="1"/>
    <xf numFmtId="0" fontId="23" fillId="5" borderId="5" xfId="0" applyFont="1" applyFill="1" applyBorder="1"/>
    <xf numFmtId="0" fontId="24" fillId="5" borderId="11" xfId="0" applyFont="1" applyFill="1" applyBorder="1"/>
    <xf numFmtId="1" fontId="23" fillId="5" borderId="10" xfId="0" applyNumberFormat="1" applyFont="1" applyFill="1" applyBorder="1"/>
    <xf numFmtId="0" fontId="30" fillId="4" borderId="12" xfId="0" applyFont="1" applyFill="1" applyBorder="1" applyAlignment="1">
      <alignment horizontal="right" wrapText="1"/>
    </xf>
    <xf numFmtId="2" fontId="23" fillId="5" borderId="6" xfId="0" applyNumberFormat="1" applyFont="1" applyFill="1" applyBorder="1" applyAlignment="1">
      <alignment horizontal="right"/>
    </xf>
    <xf numFmtId="2" fontId="23" fillId="5" borderId="6" xfId="0" quotePrefix="1" applyNumberFormat="1" applyFont="1" applyFill="1" applyBorder="1" applyAlignment="1">
      <alignment horizontal="right"/>
    </xf>
    <xf numFmtId="2" fontId="23" fillId="5" borderId="6" xfId="0" applyNumberFormat="1" applyFont="1" applyFill="1" applyBorder="1"/>
    <xf numFmtId="0" fontId="23" fillId="0" borderId="11" xfId="0" applyFont="1" applyBorder="1"/>
    <xf numFmtId="0" fontId="23" fillId="0" borderId="6" xfId="0" applyFont="1" applyBorder="1"/>
    <xf numFmtId="2" fontId="23" fillId="0" borderId="6" xfId="0" applyNumberFormat="1" applyFont="1" applyBorder="1"/>
    <xf numFmtId="2" fontId="23" fillId="0" borderId="6" xfId="0" applyNumberFormat="1" applyFont="1" applyBorder="1" applyAlignment="1">
      <alignment horizontal="right"/>
    </xf>
    <xf numFmtId="0" fontId="46" fillId="0" borderId="6" xfId="0" applyFont="1" applyBorder="1"/>
    <xf numFmtId="0" fontId="30" fillId="4" borderId="6" xfId="0" applyFont="1" applyFill="1" applyBorder="1" applyAlignment="1">
      <alignment horizontal="right" vertical="center"/>
    </xf>
    <xf numFmtId="0" fontId="32" fillId="4" borderId="1" xfId="0" applyFont="1" applyFill="1" applyBorder="1" applyAlignment="1">
      <alignment horizontal="right" vertical="top" wrapText="1"/>
    </xf>
    <xf numFmtId="0" fontId="47" fillId="0" borderId="0" xfId="1" applyFont="1" applyAlignment="1">
      <alignment horizontal="center" vertical="center"/>
    </xf>
    <xf numFmtId="0" fontId="40" fillId="8" borderId="0" xfId="0" applyFont="1" applyFill="1" applyAlignment="1">
      <alignment horizontal="left"/>
    </xf>
    <xf numFmtId="0" fontId="43" fillId="8" borderId="0" xfId="1" applyFont="1" applyFill="1"/>
    <xf numFmtId="0" fontId="46" fillId="8" borderId="0" xfId="0" applyFont="1" applyFill="1"/>
    <xf numFmtId="0" fontId="42" fillId="8" borderId="0" xfId="0" applyFont="1" applyFill="1"/>
    <xf numFmtId="0" fontId="42" fillId="8" borderId="0" xfId="1" applyFont="1" applyFill="1"/>
    <xf numFmtId="0" fontId="43" fillId="8" borderId="0" xfId="0" applyFont="1" applyFill="1"/>
    <xf numFmtId="0" fontId="35" fillId="0" borderId="0" xfId="0" applyFont="1"/>
    <xf numFmtId="0" fontId="32" fillId="4" borderId="14" xfId="0" applyFont="1" applyFill="1" applyBorder="1" applyAlignment="1">
      <alignment horizontal="right"/>
    </xf>
    <xf numFmtId="0" fontId="36" fillId="2" borderId="0" xfId="0" applyFont="1" applyFill="1" applyAlignment="1">
      <alignment vertical="center"/>
    </xf>
    <xf numFmtId="0" fontId="17" fillId="0" borderId="0" xfId="0" applyFont="1"/>
    <xf numFmtId="3" fontId="10" fillId="0" borderId="0" xfId="0" applyNumberFormat="1" applyFont="1"/>
    <xf numFmtId="2" fontId="10" fillId="5" borderId="11" xfId="0" applyNumberFormat="1" applyFont="1" applyFill="1" applyBorder="1"/>
    <xf numFmtId="0" fontId="10" fillId="5" borderId="15" xfId="0" applyFont="1" applyFill="1" applyBorder="1"/>
    <xf numFmtId="0" fontId="10" fillId="5" borderId="14" xfId="0" applyFont="1" applyFill="1" applyBorder="1"/>
    <xf numFmtId="1" fontId="10" fillId="5" borderId="14" xfId="0" applyNumberFormat="1" applyFont="1" applyFill="1" applyBorder="1"/>
    <xf numFmtId="0" fontId="2" fillId="0" borderId="0" xfId="0" applyFont="1"/>
    <xf numFmtId="0" fontId="6" fillId="0" borderId="0" xfId="0" applyFont="1" applyAlignment="1">
      <alignment horizontal="right"/>
    </xf>
    <xf numFmtId="0" fontId="35" fillId="0" borderId="0" xfId="0" applyFont="1" applyAlignment="1">
      <alignment wrapText="1"/>
    </xf>
    <xf numFmtId="0" fontId="35" fillId="0" borderId="0" xfId="0" applyFont="1" applyAlignment="1">
      <alignment vertical="top" wrapText="1"/>
    </xf>
    <xf numFmtId="0" fontId="38" fillId="0" borderId="0" xfId="0" applyFont="1" applyAlignment="1">
      <alignment horizontal="right"/>
    </xf>
    <xf numFmtId="0" fontId="14" fillId="0" borderId="0" xfId="0" applyFont="1" applyAlignment="1">
      <alignment wrapText="1"/>
    </xf>
    <xf numFmtId="0" fontId="14" fillId="0" borderId="0" xfId="0" applyFont="1" applyAlignment="1">
      <alignment vertical="top" wrapText="1"/>
    </xf>
    <xf numFmtId="0" fontId="6"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4" borderId="1" xfId="0" applyFont="1" applyFill="1" applyBorder="1" applyAlignment="1">
      <alignment horizontal="right" vertical="center"/>
    </xf>
    <xf numFmtId="0" fontId="32" fillId="4" borderId="1" xfId="0" applyFont="1" applyFill="1" applyBorder="1" applyAlignment="1">
      <alignment horizontal="right"/>
    </xf>
    <xf numFmtId="1" fontId="32" fillId="6" borderId="0" xfId="0" applyNumberFormat="1" applyFont="1" applyFill="1" applyAlignment="1">
      <alignment horizontal="left" vertical="center"/>
    </xf>
    <xf numFmtId="0" fontId="37" fillId="6" borderId="0" xfId="0" applyFont="1" applyFill="1" applyAlignment="1">
      <alignment vertical="center"/>
    </xf>
    <xf numFmtId="0" fontId="48" fillId="6" borderId="0" xfId="0" applyFont="1" applyFill="1" applyAlignment="1">
      <alignment vertical="center"/>
    </xf>
    <xf numFmtId="1" fontId="32" fillId="4" borderId="0" xfId="0" applyNumberFormat="1" applyFont="1" applyFill="1" applyAlignment="1">
      <alignment horizontal="left" vertical="center"/>
    </xf>
    <xf numFmtId="0" fontId="37" fillId="4" borderId="0" xfId="0" applyFont="1" applyFill="1" applyAlignment="1">
      <alignment vertical="center"/>
    </xf>
    <xf numFmtId="1" fontId="37" fillId="4" borderId="0" xfId="0" applyNumberFormat="1" applyFont="1" applyFill="1" applyAlignment="1">
      <alignment horizontal="left" vertical="center"/>
    </xf>
    <xf numFmtId="1" fontId="50" fillId="5" borderId="0" xfId="0" applyNumberFormat="1" applyFont="1" applyFill="1" applyAlignment="1">
      <alignment horizontal="left" vertical="center"/>
    </xf>
    <xf numFmtId="0" fontId="35" fillId="5" borderId="0" xfId="0" applyFont="1" applyFill="1" applyAlignment="1">
      <alignment vertical="center"/>
    </xf>
    <xf numFmtId="0" fontId="35" fillId="5" borderId="0" xfId="0" applyFont="1" applyFill="1"/>
    <xf numFmtId="0" fontId="40" fillId="5" borderId="0" xfId="0" quotePrefix="1" applyFont="1" applyFill="1" applyAlignment="1">
      <alignment horizontal="left" vertical="top"/>
    </xf>
    <xf numFmtId="0" fontId="35" fillId="5" borderId="0" xfId="0" applyFont="1" applyFill="1" applyAlignment="1">
      <alignment horizontal="left" vertical="top"/>
    </xf>
    <xf numFmtId="0" fontId="40" fillId="5" borderId="0" xfId="0" applyFont="1" applyFill="1" applyAlignment="1">
      <alignment horizontal="left" vertical="top"/>
    </xf>
    <xf numFmtId="0" fontId="40" fillId="5" borderId="0" xfId="0" applyFont="1" applyFill="1" applyAlignment="1">
      <alignment horizontal="center"/>
    </xf>
    <xf numFmtId="1" fontId="35" fillId="5" borderId="0" xfId="0" applyNumberFormat="1" applyFont="1" applyFill="1" applyAlignment="1">
      <alignment horizontal="left"/>
    </xf>
    <xf numFmtId="0" fontId="32" fillId="4" borderId="0" xfId="0" applyFont="1" applyFill="1"/>
    <xf numFmtId="0" fontId="10" fillId="5" borderId="0" xfId="0" applyFont="1" applyFill="1"/>
    <xf numFmtId="0" fontId="10" fillId="5" borderId="0" xfId="0" applyFont="1" applyFill="1" applyAlignment="1">
      <alignment horizontal="right"/>
    </xf>
    <xf numFmtId="0" fontId="32" fillId="4" borderId="0" xfId="0" applyFont="1" applyFill="1" applyAlignment="1">
      <alignment horizontal="right"/>
    </xf>
    <xf numFmtId="0" fontId="18" fillId="0" borderId="0" xfId="0" applyFont="1"/>
    <xf numFmtId="0" fontId="19" fillId="0" borderId="0" xfId="0" applyFont="1"/>
    <xf numFmtId="0" fontId="10" fillId="0" borderId="0" xfId="0" applyFont="1" applyAlignment="1">
      <alignment vertical="top"/>
    </xf>
    <xf numFmtId="0" fontId="10" fillId="0" borderId="0" xfId="0" applyFont="1" applyAlignment="1">
      <alignment vertical="center"/>
    </xf>
    <xf numFmtId="0" fontId="23" fillId="3" borderId="4" xfId="0" applyFont="1" applyFill="1" applyBorder="1"/>
    <xf numFmtId="0" fontId="23" fillId="3" borderId="6" xfId="0" applyFont="1" applyFill="1" applyBorder="1"/>
    <xf numFmtId="0" fontId="24" fillId="3" borderId="6" xfId="0" applyFont="1" applyFill="1" applyBorder="1"/>
    <xf numFmtId="0" fontId="11" fillId="0" borderId="0" xfId="0" applyFont="1"/>
    <xf numFmtId="0" fontId="28" fillId="0" borderId="0" xfId="0" applyFont="1"/>
    <xf numFmtId="0" fontId="15" fillId="0" borderId="0" xfId="0" applyFont="1" applyAlignment="1">
      <alignment vertical="center"/>
    </xf>
    <xf numFmtId="0" fontId="10" fillId="0" borderId="0" xfId="0" applyFont="1" applyAlignment="1">
      <alignment horizontal="left"/>
    </xf>
    <xf numFmtId="0" fontId="32" fillId="4" borderId="0" xfId="0" applyFont="1" applyFill="1" applyAlignment="1">
      <alignment horizontal="justify" vertical="center" wrapText="1"/>
    </xf>
    <xf numFmtId="0" fontId="10" fillId="5" borderId="11" xfId="0" applyFont="1" applyFill="1" applyBorder="1" applyAlignment="1">
      <alignment horizontal="justify" vertical="center" wrapText="1"/>
    </xf>
    <xf numFmtId="0" fontId="10" fillId="5" borderId="6" xfId="0" applyFont="1" applyFill="1" applyBorder="1" applyAlignment="1">
      <alignment horizontal="justify" vertical="center" wrapText="1"/>
    </xf>
    <xf numFmtId="0" fontId="10" fillId="5" borderId="6" xfId="0" applyFont="1" applyFill="1" applyBorder="1" applyAlignment="1">
      <alignment vertical="center"/>
    </xf>
    <xf numFmtId="0" fontId="35" fillId="6" borderId="0" xfId="0" applyFont="1" applyFill="1"/>
    <xf numFmtId="0" fontId="35" fillId="5" borderId="0" xfId="0" applyFont="1" applyFill="1" applyAlignment="1">
      <alignment vertical="top" wrapText="1"/>
    </xf>
    <xf numFmtId="0" fontId="35" fillId="5" borderId="0" xfId="0" applyFont="1" applyFill="1" applyAlignment="1">
      <alignment vertical="top"/>
    </xf>
    <xf numFmtId="0" fontId="1" fillId="3" borderId="4" xfId="0" applyFont="1" applyFill="1" applyBorder="1"/>
    <xf numFmtId="1" fontId="10" fillId="6" borderId="0" xfId="0" applyNumberFormat="1" applyFont="1" applyFill="1" applyAlignment="1">
      <alignment horizontal="left"/>
    </xf>
    <xf numFmtId="0" fontId="54" fillId="6" borderId="0" xfId="0" applyFont="1" applyFill="1" applyAlignment="1">
      <alignment horizontal="justify" vertical="center"/>
    </xf>
    <xf numFmtId="0" fontId="37" fillId="4" borderId="1" xfId="0" applyFont="1" applyFill="1" applyBorder="1" applyAlignment="1">
      <alignment horizontal="justify" vertical="center" wrapText="1"/>
    </xf>
    <xf numFmtId="0" fontId="10" fillId="5" borderId="16" xfId="0" applyFont="1" applyFill="1" applyBorder="1" applyAlignment="1">
      <alignment horizontal="justify" vertical="center" wrapText="1"/>
    </xf>
    <xf numFmtId="0" fontId="55" fillId="0" borderId="0" xfId="0" applyFont="1" applyAlignment="1">
      <alignment vertical="top" wrapText="1"/>
    </xf>
    <xf numFmtId="0" fontId="32" fillId="4" borderId="1" xfId="0" applyFont="1" applyFill="1" applyBorder="1" applyAlignment="1">
      <alignment horizontal="justify" vertical="center" wrapText="1"/>
    </xf>
    <xf numFmtId="0" fontId="32" fillId="4" borderId="1" xfId="0" applyFont="1" applyFill="1" applyBorder="1" applyAlignment="1">
      <alignment horizontal="left" vertical="center" wrapText="1"/>
    </xf>
    <xf numFmtId="0" fontId="37" fillId="4" borderId="0" xfId="0" applyFont="1" applyFill="1" applyAlignment="1">
      <alignment horizontal="left" vertical="center" wrapText="1"/>
    </xf>
    <xf numFmtId="0" fontId="10" fillId="5" borderId="6" xfId="0" applyFont="1" applyFill="1" applyBorder="1" applyAlignment="1">
      <alignment horizontal="left" vertical="center" wrapText="1"/>
    </xf>
    <xf numFmtId="0" fontId="32" fillId="4" borderId="0" xfId="0" applyFont="1" applyFill="1" applyAlignment="1">
      <alignment horizontal="left" vertical="center" wrapText="1"/>
    </xf>
    <xf numFmtId="0" fontId="10" fillId="5" borderId="11" xfId="0" applyFont="1" applyFill="1" applyBorder="1" applyAlignment="1">
      <alignment horizontal="left" vertical="center" wrapText="1"/>
    </xf>
    <xf numFmtId="0" fontId="10" fillId="5" borderId="6" xfId="0" applyFont="1" applyFill="1" applyBorder="1" applyAlignment="1">
      <alignment horizontal="justify" vertical="center" wrapText="1"/>
    </xf>
    <xf numFmtId="0" fontId="10" fillId="5" borderId="6" xfId="0" applyFont="1" applyFill="1" applyBorder="1"/>
    <xf numFmtId="0" fontId="10" fillId="5" borderId="11" xfId="0" applyFont="1" applyFill="1" applyBorder="1" applyAlignment="1">
      <alignment horizontal="left" vertical="center"/>
    </xf>
    <xf numFmtId="0" fontId="10" fillId="5" borderId="6" xfId="0" applyFont="1" applyFill="1" applyBorder="1" applyAlignment="1">
      <alignment horizontal="left" vertical="center"/>
    </xf>
    <xf numFmtId="0" fontId="52" fillId="0" borderId="0" xfId="0" applyFont="1" applyAlignment="1">
      <alignment horizontal="left" wrapText="1"/>
    </xf>
    <xf numFmtId="0" fontId="5" fillId="0" borderId="0" xfId="0" applyFont="1" applyAlignment="1">
      <alignment horizontal="left" vertical="center" wrapText="1"/>
    </xf>
    <xf numFmtId="0" fontId="32" fillId="7" borderId="2" xfId="0" applyFont="1" applyFill="1" applyBorder="1" applyAlignment="1">
      <alignment horizontal="center" vertical="center" textRotation="90"/>
    </xf>
    <xf numFmtId="0" fontId="32" fillId="7" borderId="3" xfId="0" applyFont="1" applyFill="1" applyBorder="1" applyAlignment="1">
      <alignment horizontal="center" vertical="center" textRotation="90"/>
    </xf>
    <xf numFmtId="0" fontId="32" fillId="7" borderId="8" xfId="0" applyFont="1" applyFill="1" applyBorder="1" applyAlignment="1">
      <alignment horizontal="center" vertical="center" textRotation="90"/>
    </xf>
    <xf numFmtId="0" fontId="32" fillId="7" borderId="9" xfId="0" applyFont="1" applyFill="1" applyBorder="1" applyAlignment="1">
      <alignment horizontal="center" vertical="center" textRotation="90"/>
    </xf>
    <xf numFmtId="0" fontId="35" fillId="0" borderId="0" xfId="0" applyFont="1" applyAlignment="1">
      <alignment horizontal="left" wrapText="1"/>
    </xf>
    <xf numFmtId="0" fontId="35" fillId="0" borderId="0" xfId="0" applyFont="1" applyAlignment="1">
      <alignment horizontal="left" vertical="top" wrapText="1"/>
    </xf>
    <xf numFmtId="0" fontId="32" fillId="4" borderId="13" xfId="0" applyFont="1" applyFill="1" applyBorder="1" applyAlignment="1">
      <alignment horizontal="center" vertical="center"/>
    </xf>
    <xf numFmtId="0" fontId="32" fillId="4" borderId="12" xfId="0" applyFont="1" applyFill="1" applyBorder="1" applyAlignment="1">
      <alignment horizontal="center" vertical="center"/>
    </xf>
    <xf numFmtId="0" fontId="24" fillId="5" borderId="6" xfId="0" applyFont="1" applyFill="1" applyBorder="1" applyAlignment="1">
      <alignment horizontal="left" wrapText="1"/>
    </xf>
    <xf numFmtId="0" fontId="30" fillId="4" borderId="0" xfId="0" applyFont="1" applyFill="1" applyAlignment="1">
      <alignment vertical="center"/>
    </xf>
    <xf numFmtId="0" fontId="30" fillId="4" borderId="11" xfId="0" applyFont="1" applyFill="1" applyBorder="1" applyAlignment="1">
      <alignment vertical="center"/>
    </xf>
    <xf numFmtId="0" fontId="30" fillId="4" borderId="11" xfId="0" applyFont="1" applyFill="1" applyBorder="1" applyAlignment="1">
      <alignment horizontal="center" vertical="center"/>
    </xf>
    <xf numFmtId="0" fontId="31" fillId="4" borderId="6" xfId="0" applyFont="1" applyFill="1" applyBorder="1" applyAlignment="1">
      <alignment vertical="center"/>
    </xf>
    <xf numFmtId="0" fontId="31" fillId="4" borderId="11" xfId="0" applyFont="1" applyFill="1" applyBorder="1" applyAlignment="1">
      <alignment horizontal="center" vertical="center"/>
    </xf>
    <xf numFmtId="0" fontId="30" fillId="4" borderId="6" xfId="0" applyFont="1" applyFill="1" applyBorder="1" applyAlignment="1">
      <alignment horizontal="center" vertical="center"/>
    </xf>
    <xf numFmtId="0" fontId="31" fillId="4" borderId="6" xfId="0" applyFont="1" applyFill="1" applyBorder="1" applyAlignment="1">
      <alignment horizontal="center" vertical="center"/>
    </xf>
    <xf numFmtId="0" fontId="30" fillId="4" borderId="6" xfId="0" applyFont="1" applyFill="1" applyBorder="1" applyAlignment="1">
      <alignment horizontal="left" vertical="center"/>
    </xf>
    <xf numFmtId="0" fontId="32" fillId="4" borderId="11" xfId="0" applyFont="1" applyFill="1" applyBorder="1" applyAlignment="1">
      <alignment horizontal="center"/>
    </xf>
    <xf numFmtId="0" fontId="48" fillId="4" borderId="11" xfId="0" applyFont="1" applyFill="1" applyBorder="1" applyAlignment="1">
      <alignment horizontal="center"/>
    </xf>
    <xf numFmtId="0" fontId="32" fillId="4" borderId="11" xfId="0" applyFont="1" applyFill="1" applyBorder="1"/>
    <xf numFmtId="0" fontId="48" fillId="4" borderId="14" xfId="0" applyFont="1" applyFill="1" applyBorder="1"/>
    <xf numFmtId="0" fontId="32" fillId="4" borderId="0" xfId="0" applyFont="1" applyFill="1" applyAlignment="1">
      <alignment horizontal="justify" vertical="center" wrapText="1"/>
    </xf>
    <xf numFmtId="0" fontId="32" fillId="4" borderId="1" xfId="0" applyFont="1" applyFill="1" applyBorder="1" applyAlignment="1">
      <alignment horizontal="justify" vertical="center" wrapText="1"/>
    </xf>
    <xf numFmtId="0" fontId="32" fillId="4" borderId="1" xfId="0" applyFont="1" applyFill="1" applyBorder="1" applyAlignment="1">
      <alignment horizontal="center" vertical="center" wrapText="1"/>
    </xf>
    <xf numFmtId="0" fontId="55" fillId="0" borderId="17" xfId="0" applyFont="1" applyBorder="1" applyAlignment="1">
      <alignment horizontal="left" vertical="top" wrapText="1"/>
    </xf>
    <xf numFmtId="0" fontId="55" fillId="0" borderId="0" xfId="0" applyFont="1" applyAlignment="1">
      <alignment horizontal="left" vertical="top" wrapText="1"/>
    </xf>
    <xf numFmtId="0" fontId="35" fillId="2" borderId="0" xfId="0" applyFont="1" applyFill="1" applyAlignment="1">
      <alignment horizontal="left" vertical="top" wrapText="1"/>
    </xf>
  </cellXfs>
  <cellStyles count="2">
    <cellStyle name="Hyperlink" xfId="1" builtinId="8"/>
    <cellStyle name="Normal" xfId="0" builtinId="0"/>
  </cellStyles>
  <dxfs count="6">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9" tint="0.59999389629810485"/>
        </patternFill>
      </fill>
      <alignment horizontal="general" vertical="center" textRotation="0" wrapText="0" indent="0" justifyLastLine="0" shrinkToFit="0" readingOrder="0"/>
      <border diagonalUp="0" diagonalDown="0" outline="0">
        <left/>
        <right style="thick">
          <color theme="0"/>
        </right>
        <top/>
        <bottom/>
      </border>
    </dxf>
    <dxf>
      <fill>
        <patternFill patternType="solid">
          <fgColor indexed="64"/>
          <bgColor theme="9" tint="0.59999389629810485"/>
        </patternFill>
      </fill>
    </dxf>
    <dxf>
      <border outline="0">
        <bottom style="thick">
          <color theme="0"/>
        </bottom>
      </border>
    </dxf>
    <dxf>
      <font>
        <strike val="0"/>
        <outline val="0"/>
        <shadow val="0"/>
        <u val="none"/>
        <sz val="11"/>
        <color theme="0"/>
        <name val="Calibri"/>
        <family val="2"/>
        <scheme val="none"/>
      </font>
      <fill>
        <patternFill patternType="solid">
          <fgColor indexed="64"/>
          <bgColor theme="9" tint="-0.249977111117893"/>
        </patternFill>
      </fill>
      <alignment vertical="top" textRotation="0" indent="0" justifyLastLine="0" shrinkToFit="0" readingOrder="0"/>
    </dxf>
  </dxfs>
  <tableStyles count="0" defaultTableStyle="TableStyleMedium9" defaultPivotStyle="PivotStyleMedium7"/>
  <colors>
    <mruColors>
      <color rgb="FF3E6129"/>
      <color rgb="FF446A2C"/>
      <color rgb="FFECF5E7"/>
      <color rgb="FF0432FF"/>
      <color rgb="FFFFFA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702258</xdr:colOff>
      <xdr:row>3</xdr:row>
      <xdr:rowOff>0</xdr:rowOff>
    </xdr:from>
    <xdr:to>
      <xdr:col>12</xdr:col>
      <xdr:colOff>1</xdr:colOff>
      <xdr:row>46</xdr:row>
      <xdr:rowOff>7315</xdr:rowOff>
    </xdr:to>
    <xdr:grpSp>
      <xdr:nvGrpSpPr>
        <xdr:cNvPr id="25" name="Group 24">
          <a:extLst>
            <a:ext uri="{FF2B5EF4-FFF2-40B4-BE49-F238E27FC236}">
              <a16:creationId xmlns:a16="http://schemas.microsoft.com/office/drawing/2014/main" id="{F0198029-1002-4705-B927-177647ACD6A4}"/>
            </a:ext>
          </a:extLst>
        </xdr:cNvPr>
        <xdr:cNvGrpSpPr/>
      </xdr:nvGrpSpPr>
      <xdr:grpSpPr>
        <a:xfrm>
          <a:off x="1697125" y="512064"/>
          <a:ext cx="6320336" cy="8814815"/>
          <a:chOff x="1448407" y="512063"/>
          <a:chExt cx="6320335" cy="8814817"/>
        </a:xfrm>
      </xdr:grpSpPr>
      <xdr:sp macro="" textlink="">
        <xdr:nvSpPr>
          <xdr:cNvPr id="6" name="Text Box 4">
            <a:extLst>
              <a:ext uri="{FF2B5EF4-FFF2-40B4-BE49-F238E27FC236}">
                <a16:creationId xmlns:a16="http://schemas.microsoft.com/office/drawing/2014/main" id="{58AE2297-2B7D-462D-9064-92BA8E9E51AF}"/>
              </a:ext>
            </a:extLst>
          </xdr:cNvPr>
          <xdr:cNvSpPr txBox="1"/>
        </xdr:nvSpPr>
        <xdr:spPr>
          <a:xfrm>
            <a:off x="1448407" y="512063"/>
            <a:ext cx="2757831" cy="3789274"/>
          </a:xfrm>
          <a:prstGeom prst="rect">
            <a:avLst/>
          </a:prstGeom>
          <a:solidFill>
            <a:schemeClr val="accent6">
              <a:lumMod val="50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Assumptions</a:t>
            </a:r>
            <a:endParaRPr lang="en-US" sz="1400" spc="80" baseline="0">
              <a:solidFill>
                <a:schemeClr val="bg1"/>
              </a:solidFill>
              <a:effectLst/>
              <a:latin typeface="+mn-lt"/>
              <a:ea typeface="Calibri" charset="0"/>
              <a:cs typeface="Times New Roman" charset="0"/>
            </a:endParaRPr>
          </a:p>
          <a:p>
            <a:pPr marL="0" marR="0" algn="ctr">
              <a:spcBef>
                <a:spcPts val="0"/>
              </a:spcBef>
              <a:spcAft>
                <a:spcPts val="0"/>
              </a:spcAft>
            </a:pPr>
            <a:r>
              <a:rPr lang="en-GB" sz="1200">
                <a:solidFill>
                  <a:schemeClr val="bg1"/>
                </a:solidFill>
                <a:effectLst/>
                <a:latin typeface="+mn-lt"/>
                <a:ea typeface="Calibri" charset="0"/>
                <a:cs typeface="Times New Roman" charset="0"/>
              </a:rPr>
              <a:t>See sheet</a:t>
            </a:r>
          </a:p>
          <a:p>
            <a:pPr marL="0" marR="0" algn="ctr">
              <a:spcBef>
                <a:spcPts val="0"/>
              </a:spcBef>
              <a:spcAft>
                <a:spcPts val="0"/>
              </a:spcAft>
            </a:pPr>
            <a:r>
              <a:rPr lang="en-GB" sz="1400">
                <a:solidFill>
                  <a:schemeClr val="bg1"/>
                </a:solidFill>
                <a:effectLst/>
                <a:latin typeface="+mn-lt"/>
                <a:ea typeface="Calibri" charset="0"/>
                <a:cs typeface="Times New Roman" charset="0"/>
              </a:rPr>
              <a:t> </a:t>
            </a:r>
            <a:r>
              <a:rPr lang="en-GB" sz="1200">
                <a:solidFill>
                  <a:schemeClr val="bg1"/>
                </a:solidFill>
                <a:effectLst/>
                <a:latin typeface="+mn-lt"/>
                <a:ea typeface="Calibri" charset="0"/>
                <a:cs typeface="Times New Roman" charset="0"/>
              </a:rPr>
              <a:t>‘Model Details &amp; Assumptions’</a:t>
            </a:r>
            <a:r>
              <a:rPr lang="en-GB" sz="1400">
                <a:solidFill>
                  <a:schemeClr val="bg1"/>
                </a:solidFill>
                <a:effectLst/>
                <a:latin typeface="+mn-lt"/>
                <a:ea typeface="Calibri" charset="0"/>
                <a:cs typeface="Times New Roman" charset="0"/>
              </a:rPr>
              <a:t> </a:t>
            </a:r>
            <a:endParaRPr lang="en-US" sz="1400">
              <a:solidFill>
                <a:schemeClr val="bg1"/>
              </a:solidFill>
              <a:effectLst/>
              <a:latin typeface="+mn-lt"/>
              <a:ea typeface="Calibri" charset="0"/>
              <a:cs typeface="Times New Roman" charset="0"/>
            </a:endParaRPr>
          </a:p>
        </xdr:txBody>
      </xdr:sp>
      <xdr:sp macro="" textlink="">
        <xdr:nvSpPr>
          <xdr:cNvPr id="8" name="Text Box 3">
            <a:extLst>
              <a:ext uri="{FF2B5EF4-FFF2-40B4-BE49-F238E27FC236}">
                <a16:creationId xmlns:a16="http://schemas.microsoft.com/office/drawing/2014/main" id="{EC6AC85C-C02B-4F81-ACE5-B884F2349638}"/>
              </a:ext>
            </a:extLst>
          </xdr:cNvPr>
          <xdr:cNvSpPr txBox="1"/>
        </xdr:nvSpPr>
        <xdr:spPr>
          <a:xfrm>
            <a:off x="4915814" y="512064"/>
            <a:ext cx="2852928" cy="3774643"/>
          </a:xfrm>
          <a:prstGeom prst="rect">
            <a:avLst/>
          </a:prstGeom>
          <a:solidFill>
            <a:schemeClr val="accent6">
              <a:lumMod val="50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Inputs</a:t>
            </a:r>
          </a:p>
          <a:p>
            <a:pPr marL="0" marR="0" algn="just">
              <a:spcBef>
                <a:spcPts val="0"/>
              </a:spcBef>
              <a:spcAft>
                <a:spcPts val="0"/>
              </a:spcAft>
            </a:pPr>
            <a:endParaRPr lang="en-US" sz="900" spc="80" baseline="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Soil type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Crop types</a:t>
            </a:r>
            <a:endParaRPr lang="en-US" sz="1100">
              <a:solidFill>
                <a:schemeClr val="bg1"/>
              </a:solidFill>
              <a:effectLst/>
              <a:latin typeface="+mn-lt"/>
              <a:ea typeface="Calibri" charset="0"/>
              <a:cs typeface="Times New Roman" charset="0"/>
            </a:endParaRPr>
          </a:p>
          <a:p>
            <a:pPr marL="342900" marR="0" lvl="0" indent="-342900" algn="l">
              <a:spcBef>
                <a:spcPts val="0"/>
              </a:spcBef>
              <a:spcAft>
                <a:spcPts val="0"/>
              </a:spcAft>
              <a:buFont typeface="Symbol" charset="2"/>
              <a:buChar char=""/>
            </a:pPr>
            <a:r>
              <a:rPr lang="en-GB" sz="1100">
                <a:solidFill>
                  <a:schemeClr val="bg1"/>
                </a:solidFill>
                <a:effectLst/>
                <a:latin typeface="+mn-lt"/>
                <a:ea typeface="Calibri" charset="0"/>
                <a:cs typeface="Times New Roman" charset="0"/>
              </a:rPr>
              <a:t>Length or rotation/ rotation probability</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Tillage practice methods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Seed rates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Option for delayed sowing</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Fertiliser rates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Herbicide/Glyphosate dose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Number of Sprays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Subsidy payment</a:t>
            </a:r>
            <a:endParaRPr lang="en-US" sz="1100">
              <a:solidFill>
                <a:schemeClr val="bg1"/>
              </a:solidFill>
              <a:effectLst/>
              <a:latin typeface="+mn-lt"/>
              <a:ea typeface="Calibri" charset="0"/>
              <a:cs typeface="Times New Roman" charset="0"/>
            </a:endParaRPr>
          </a:p>
          <a:p>
            <a:pPr marL="342900" marR="0" lvl="0" indent="-342900" algn="l">
              <a:spcBef>
                <a:spcPts val="0"/>
              </a:spcBef>
              <a:spcAft>
                <a:spcPts val="0"/>
              </a:spcAft>
              <a:buFont typeface="Symbol" charset="2"/>
              <a:buChar char=""/>
            </a:pPr>
            <a:r>
              <a:rPr lang="en-GB" sz="1100">
                <a:solidFill>
                  <a:schemeClr val="bg1"/>
                </a:solidFill>
                <a:effectLst/>
                <a:latin typeface="+mn-lt"/>
                <a:ea typeface="Calibri" charset="0"/>
                <a:cs typeface="Times New Roman" charset="0"/>
              </a:rPr>
              <a:t>Level of black-grass infestation</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Crop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Option for yield data input</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Fertiliser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Seed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Herbicide prices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Machine sizes</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Fuel price</a:t>
            </a:r>
            <a:endParaRPr lang="en-US" sz="1100">
              <a:solidFill>
                <a:schemeClr val="bg1"/>
              </a:solidFill>
              <a:effectLst/>
              <a:latin typeface="+mn-lt"/>
              <a:ea typeface="Calibri" charset="0"/>
              <a:cs typeface="Times New Roman" charset="0"/>
            </a:endParaRPr>
          </a:p>
          <a:p>
            <a:pPr marL="342900" marR="0" lvl="0" indent="-342900" algn="just">
              <a:spcBef>
                <a:spcPts val="0"/>
              </a:spcBef>
              <a:spcAft>
                <a:spcPts val="0"/>
              </a:spcAft>
              <a:buFont typeface="Symbol" charset="2"/>
              <a:buChar char=""/>
            </a:pPr>
            <a:r>
              <a:rPr lang="en-GB" sz="1100">
                <a:solidFill>
                  <a:schemeClr val="bg1"/>
                </a:solidFill>
                <a:effectLst/>
                <a:latin typeface="+mn-lt"/>
                <a:ea typeface="Calibri" charset="0"/>
                <a:cs typeface="Times New Roman" charset="0"/>
              </a:rPr>
              <a:t>Hourly labour wage</a:t>
            </a:r>
            <a:endParaRPr lang="en-US" sz="1100">
              <a:solidFill>
                <a:schemeClr val="bg1"/>
              </a:solidFill>
              <a:effectLst/>
              <a:latin typeface="+mn-lt"/>
              <a:ea typeface="Calibri" charset="0"/>
              <a:cs typeface="Times New Roman" charset="0"/>
            </a:endParaRPr>
          </a:p>
          <a:p>
            <a:pPr marL="0" marR="0" algn="just">
              <a:spcBef>
                <a:spcPts val="0"/>
              </a:spcBef>
              <a:spcAft>
                <a:spcPts val="0"/>
              </a:spcAft>
            </a:pPr>
            <a:r>
              <a:rPr lang="en-GB" sz="1100">
                <a:solidFill>
                  <a:schemeClr val="bg1"/>
                </a:solidFill>
                <a:effectLst/>
                <a:latin typeface="+mn-lt"/>
                <a:ea typeface="Calibri" charset="0"/>
                <a:cs typeface="Times New Roman" charset="0"/>
              </a:rPr>
              <a:t> </a:t>
            </a:r>
            <a:endParaRPr lang="en-US" sz="1100">
              <a:solidFill>
                <a:schemeClr val="bg1"/>
              </a:solidFill>
              <a:effectLst/>
              <a:latin typeface="+mn-lt"/>
              <a:ea typeface="Calibri" charset="0"/>
              <a:cs typeface="Times New Roman" charset="0"/>
            </a:endParaRPr>
          </a:p>
        </xdr:txBody>
      </xdr:sp>
      <xdr:sp macro="" textlink="">
        <xdr:nvSpPr>
          <xdr:cNvPr id="9" name="Rectangle 8">
            <a:extLst>
              <a:ext uri="{FF2B5EF4-FFF2-40B4-BE49-F238E27FC236}">
                <a16:creationId xmlns:a16="http://schemas.microsoft.com/office/drawing/2014/main" id="{B4B349F7-7966-426D-8DA6-5E86ED3875E3}"/>
              </a:ext>
            </a:extLst>
          </xdr:cNvPr>
          <xdr:cNvSpPr/>
        </xdr:nvSpPr>
        <xdr:spPr>
          <a:xfrm>
            <a:off x="3313791" y="4820717"/>
            <a:ext cx="2514600" cy="1865629"/>
          </a:xfrm>
          <a:prstGeom prst="rect">
            <a:avLst/>
          </a:prstGeom>
          <a:solidFill>
            <a:schemeClr val="accent6">
              <a:lumMod val="50000"/>
            </a:schemeClr>
          </a:solidFill>
        </xdr:spPr>
        <xdr:style>
          <a:lnRef idx="1">
            <a:schemeClr val="accent3"/>
          </a:lnRef>
          <a:fillRef idx="2">
            <a:schemeClr val="accent3"/>
          </a:fillRef>
          <a:effectRef idx="1">
            <a:schemeClr val="accent3"/>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endParaRPr lang="en-US"/>
          </a:p>
        </xdr:txBody>
      </xdr:sp>
      <xdr:sp macro="" textlink="">
        <xdr:nvSpPr>
          <xdr:cNvPr id="10" name="Magnetic Disk 9">
            <a:extLst>
              <a:ext uri="{FF2B5EF4-FFF2-40B4-BE49-F238E27FC236}">
                <a16:creationId xmlns:a16="http://schemas.microsoft.com/office/drawing/2014/main" id="{6B3DF8C6-20DB-48B4-BC7B-B91D2B7E281D}"/>
              </a:ext>
            </a:extLst>
          </xdr:cNvPr>
          <xdr:cNvSpPr/>
        </xdr:nvSpPr>
        <xdr:spPr>
          <a:xfrm>
            <a:off x="3650289" y="5208421"/>
            <a:ext cx="1828165" cy="1034415"/>
          </a:xfrm>
          <a:prstGeom prst="flowChartMagneticDisk">
            <a:avLst/>
          </a:prstGeom>
          <a:solidFill>
            <a:schemeClr val="accent6">
              <a:lumMod val="75000"/>
            </a:schemeClr>
          </a:solidFill>
        </xdr:spPr>
        <xdr:style>
          <a:lnRef idx="3">
            <a:schemeClr val="lt1"/>
          </a:lnRef>
          <a:fillRef idx="1">
            <a:schemeClr val="accent3"/>
          </a:fillRef>
          <a:effectRef idx="1">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a:p>
        </xdr:txBody>
      </xdr:sp>
      <xdr:sp macro="" textlink="">
        <xdr:nvSpPr>
          <xdr:cNvPr id="11" name="Text Box 6">
            <a:extLst>
              <a:ext uri="{FF2B5EF4-FFF2-40B4-BE49-F238E27FC236}">
                <a16:creationId xmlns:a16="http://schemas.microsoft.com/office/drawing/2014/main" id="{365552F5-7D2C-457E-8E01-7582C8CF63F5}"/>
              </a:ext>
            </a:extLst>
          </xdr:cNvPr>
          <xdr:cNvSpPr txBox="1"/>
        </xdr:nvSpPr>
        <xdr:spPr>
          <a:xfrm>
            <a:off x="3313791" y="4820717"/>
            <a:ext cx="2504440" cy="341629"/>
          </a:xfrm>
          <a:prstGeom prst="rect">
            <a:avLst/>
          </a:prstGeom>
          <a:no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latin typeface="+mn-lt"/>
                <a:ea typeface="Calibri" charset="0"/>
                <a:cs typeface="Times New Roman" charset="0"/>
              </a:rPr>
              <a:t>BGRI-ECOMOD</a:t>
            </a:r>
            <a:endParaRPr lang="en-US" sz="1400" spc="80" baseline="0">
              <a:solidFill>
                <a:schemeClr val="bg1"/>
              </a:solidFill>
              <a:effectLst/>
              <a:latin typeface="+mn-lt"/>
              <a:ea typeface="Calibri" charset="0"/>
              <a:cs typeface="Times New Roman" charset="0"/>
            </a:endParaRPr>
          </a:p>
        </xdr:txBody>
      </xdr:sp>
      <xdr:sp macro="" textlink="">
        <xdr:nvSpPr>
          <xdr:cNvPr id="12" name="Text Box 8">
            <a:extLst>
              <a:ext uri="{FF2B5EF4-FFF2-40B4-BE49-F238E27FC236}">
                <a16:creationId xmlns:a16="http://schemas.microsoft.com/office/drawing/2014/main" id="{E7B16AF3-6903-4951-B44D-19670F5E6FF6}"/>
              </a:ext>
            </a:extLst>
          </xdr:cNvPr>
          <xdr:cNvSpPr txBox="1"/>
        </xdr:nvSpPr>
        <xdr:spPr>
          <a:xfrm>
            <a:off x="3650289" y="5676593"/>
            <a:ext cx="1828800" cy="457200"/>
          </a:xfrm>
          <a:prstGeom prst="rect">
            <a:avLst/>
          </a:prstGeom>
          <a:no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100" b="1" spc="30" baseline="0">
                <a:solidFill>
                  <a:schemeClr val="bg1"/>
                </a:solidFill>
                <a:effectLst/>
                <a:latin typeface="+mn-lt"/>
                <a:ea typeface="Calibri" charset="0"/>
                <a:cs typeface="Times New Roman" charset="0"/>
              </a:rPr>
              <a:t>Assembled Model</a:t>
            </a:r>
            <a:endParaRPr lang="en-US" sz="1100" spc="30" baseline="0">
              <a:solidFill>
                <a:schemeClr val="bg1"/>
              </a:solidFill>
              <a:effectLst/>
              <a:latin typeface="+mn-lt"/>
              <a:ea typeface="Calibri" charset="0"/>
              <a:cs typeface="Times New Roman" charset="0"/>
            </a:endParaRPr>
          </a:p>
          <a:p>
            <a:pPr marL="0" marR="0" algn="ctr">
              <a:spcBef>
                <a:spcPts val="0"/>
              </a:spcBef>
              <a:spcAft>
                <a:spcPts val="0"/>
              </a:spcAft>
            </a:pPr>
            <a:r>
              <a:rPr lang="en-GB" sz="1100" b="1" spc="30" baseline="0">
                <a:solidFill>
                  <a:schemeClr val="bg1"/>
                </a:solidFill>
                <a:effectLst/>
                <a:latin typeface="+mn-lt"/>
                <a:ea typeface="Calibri" charset="0"/>
                <a:cs typeface="Times New Roman" charset="0"/>
              </a:rPr>
              <a:t>Input Data</a:t>
            </a:r>
            <a:endParaRPr lang="en-US" sz="1100" spc="30" baseline="0">
              <a:solidFill>
                <a:schemeClr val="bg1"/>
              </a:solidFill>
              <a:effectLst/>
              <a:latin typeface="+mn-lt"/>
              <a:ea typeface="Calibri" charset="0"/>
              <a:cs typeface="Times New Roman" charset="0"/>
            </a:endParaRPr>
          </a:p>
        </xdr:txBody>
      </xdr:sp>
      <xdr:sp macro="" textlink="">
        <xdr:nvSpPr>
          <xdr:cNvPr id="14" name="Text Box 6">
            <a:extLst>
              <a:ext uri="{FF2B5EF4-FFF2-40B4-BE49-F238E27FC236}">
                <a16:creationId xmlns:a16="http://schemas.microsoft.com/office/drawing/2014/main" id="{1ACCD9EC-CCBB-40F3-8ABE-8FAF7360DFF6}"/>
              </a:ext>
            </a:extLst>
          </xdr:cNvPr>
          <xdr:cNvSpPr txBox="1"/>
        </xdr:nvSpPr>
        <xdr:spPr>
          <a:xfrm>
            <a:off x="3518610" y="7073798"/>
            <a:ext cx="2099463" cy="2253082"/>
          </a:xfrm>
          <a:prstGeom prst="rect">
            <a:avLst/>
          </a:prstGeom>
          <a:solidFill>
            <a:schemeClr val="accent6">
              <a:lumMod val="75000"/>
            </a:schemeClr>
          </a:solidFill>
          <a:ln>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algn="ctr">
              <a:spcBef>
                <a:spcPts val="0"/>
              </a:spcBef>
              <a:spcAft>
                <a:spcPts val="0"/>
              </a:spcAft>
            </a:pPr>
            <a:r>
              <a:rPr lang="en-GB" sz="1400" b="1" cap="small" spc="80" baseline="0">
                <a:solidFill>
                  <a:schemeClr val="bg1"/>
                </a:solidFill>
                <a:effectLst/>
                <a:latin typeface="+mn-lt"/>
                <a:ea typeface="Calibri" charset="0"/>
                <a:cs typeface="Times New Roman" charset="0"/>
              </a:rPr>
              <a:t>Model Output</a:t>
            </a:r>
          </a:p>
          <a:p>
            <a:pPr marL="0" marR="0" algn="ctr">
              <a:spcBef>
                <a:spcPts val="0"/>
              </a:spcBef>
              <a:spcAft>
                <a:spcPts val="0"/>
              </a:spcAft>
            </a:pPr>
            <a:r>
              <a:rPr lang="en-GB" sz="1200">
                <a:solidFill>
                  <a:schemeClr val="bg1"/>
                </a:solidFill>
                <a:latin typeface="+mn-lt"/>
                <a:ea typeface="Calibri" charset="0"/>
                <a:cs typeface="Times New Roman" charset="0"/>
              </a:rPr>
              <a:t>(For different crops)</a:t>
            </a:r>
          </a:p>
          <a:p>
            <a:pPr marL="0" marR="0" algn="ctr">
              <a:spcBef>
                <a:spcPts val="0"/>
              </a:spcBef>
              <a:spcAft>
                <a:spcPts val="0"/>
              </a:spcAft>
            </a:pPr>
            <a:r>
              <a:rPr lang="en-GB" sz="1200">
                <a:solidFill>
                  <a:schemeClr val="bg1"/>
                </a:solidFill>
                <a:latin typeface="+mn-lt"/>
                <a:ea typeface="Calibri" charset="0"/>
                <a:cs typeface="Times New Roman" charset="0"/>
              </a:rPr>
              <a:t>Farm output</a:t>
            </a:r>
          </a:p>
          <a:p>
            <a:pPr marL="0" marR="0" algn="ctr">
              <a:spcBef>
                <a:spcPts val="0"/>
              </a:spcBef>
              <a:spcAft>
                <a:spcPts val="0"/>
              </a:spcAft>
            </a:pPr>
            <a:r>
              <a:rPr lang="en-GB" sz="1200">
                <a:solidFill>
                  <a:schemeClr val="bg1"/>
                </a:solidFill>
                <a:effectLst/>
                <a:latin typeface="+mn-lt"/>
                <a:ea typeface="Calibri" charset="0"/>
                <a:cs typeface="Times New Roman" charset="0"/>
              </a:rPr>
              <a:t>Fertiliser costs</a:t>
            </a:r>
          </a:p>
          <a:p>
            <a:pPr marL="0" marR="0" algn="ctr">
              <a:spcBef>
                <a:spcPts val="0"/>
              </a:spcBef>
              <a:spcAft>
                <a:spcPts val="0"/>
              </a:spcAft>
            </a:pPr>
            <a:r>
              <a:rPr lang="en-GB" sz="1200">
                <a:solidFill>
                  <a:schemeClr val="bg1"/>
                </a:solidFill>
                <a:latin typeface="+mn-lt"/>
                <a:ea typeface="Calibri" charset="0"/>
                <a:cs typeface="Times New Roman" charset="0"/>
              </a:rPr>
              <a:t>Seed cost</a:t>
            </a:r>
          </a:p>
          <a:p>
            <a:pPr marL="0" marR="0" algn="ctr">
              <a:spcBef>
                <a:spcPts val="0"/>
              </a:spcBef>
              <a:spcAft>
                <a:spcPts val="0"/>
              </a:spcAft>
            </a:pPr>
            <a:r>
              <a:rPr lang="en-GB" sz="1200">
                <a:solidFill>
                  <a:schemeClr val="bg1"/>
                </a:solidFill>
                <a:effectLst/>
                <a:latin typeface="+mn-lt"/>
                <a:ea typeface="Calibri" charset="0"/>
                <a:cs typeface="Times New Roman" charset="0"/>
              </a:rPr>
              <a:t>Herbicide cost</a:t>
            </a:r>
          </a:p>
          <a:p>
            <a:pPr marL="0" marR="0" algn="ctr">
              <a:spcBef>
                <a:spcPts val="0"/>
              </a:spcBef>
              <a:spcAft>
                <a:spcPts val="0"/>
              </a:spcAft>
            </a:pPr>
            <a:r>
              <a:rPr lang="en-GB" sz="1200">
                <a:solidFill>
                  <a:schemeClr val="bg1"/>
                </a:solidFill>
                <a:latin typeface="+mn-lt"/>
                <a:ea typeface="Calibri" charset="0"/>
                <a:cs typeface="Times New Roman" charset="0"/>
              </a:rPr>
              <a:t>Gross margin</a:t>
            </a:r>
          </a:p>
          <a:p>
            <a:pPr marL="0" marR="0" algn="ctr">
              <a:spcBef>
                <a:spcPts val="0"/>
              </a:spcBef>
              <a:spcAft>
                <a:spcPts val="0"/>
              </a:spcAft>
            </a:pPr>
            <a:r>
              <a:rPr lang="en-GB" sz="1200">
                <a:solidFill>
                  <a:schemeClr val="bg1"/>
                </a:solidFill>
                <a:latin typeface="+mn-lt"/>
                <a:ea typeface="Calibri" charset="0"/>
                <a:cs typeface="Times New Roman" charset="0"/>
              </a:rPr>
              <a:t>Fuel cost</a:t>
            </a:r>
          </a:p>
          <a:p>
            <a:pPr marL="0" marR="0" algn="ctr">
              <a:spcBef>
                <a:spcPts val="0"/>
              </a:spcBef>
              <a:spcAft>
                <a:spcPts val="0"/>
              </a:spcAft>
            </a:pPr>
            <a:r>
              <a:rPr lang="en-GB" sz="1200">
                <a:solidFill>
                  <a:schemeClr val="bg1"/>
                </a:solidFill>
                <a:effectLst/>
                <a:latin typeface="+mn-lt"/>
                <a:ea typeface="Calibri" charset="0"/>
                <a:cs typeface="Times New Roman" charset="0"/>
              </a:rPr>
              <a:t>Labour cost</a:t>
            </a:r>
          </a:p>
          <a:p>
            <a:pPr marL="0" marR="0" algn="ctr">
              <a:spcBef>
                <a:spcPts val="0"/>
              </a:spcBef>
              <a:spcAft>
                <a:spcPts val="0"/>
              </a:spcAft>
            </a:pPr>
            <a:r>
              <a:rPr lang="en-GB" sz="1200">
                <a:solidFill>
                  <a:schemeClr val="bg1"/>
                </a:solidFill>
                <a:latin typeface="+mn-lt"/>
                <a:ea typeface="Calibri" charset="0"/>
                <a:cs typeface="Times New Roman" charset="0"/>
              </a:rPr>
              <a:t>Gross profit</a:t>
            </a:r>
          </a:p>
          <a:p>
            <a:pPr marL="0" marR="0" algn="ctr">
              <a:spcBef>
                <a:spcPts val="0"/>
              </a:spcBef>
              <a:spcAft>
                <a:spcPts val="0"/>
              </a:spcAft>
            </a:pPr>
            <a:r>
              <a:rPr lang="en-GB" sz="1200">
                <a:solidFill>
                  <a:schemeClr val="bg1"/>
                </a:solidFill>
                <a:latin typeface="+mn-lt"/>
                <a:ea typeface="Calibri" charset="0"/>
                <a:cs typeface="Times New Roman" charset="0"/>
              </a:rPr>
              <a:t>Gross rotation profit</a:t>
            </a:r>
          </a:p>
          <a:p>
            <a:pPr marL="0" marR="0" algn="ctr">
              <a:spcBef>
                <a:spcPts val="0"/>
              </a:spcBef>
              <a:spcAft>
                <a:spcPts val="0"/>
              </a:spcAft>
            </a:pPr>
            <a:endParaRPr lang="en-GB" sz="1100">
              <a:solidFill>
                <a:schemeClr val="bg1"/>
              </a:solidFill>
              <a:latin typeface="+mn-lt"/>
              <a:ea typeface="Calibri" charset="0"/>
              <a:cs typeface="Times New Roman" charset="0"/>
            </a:endParaRPr>
          </a:p>
          <a:p>
            <a:pPr marL="0" marR="0" algn="ctr">
              <a:spcBef>
                <a:spcPts val="0"/>
              </a:spcBef>
              <a:spcAft>
                <a:spcPts val="0"/>
              </a:spcAft>
            </a:pPr>
            <a:r>
              <a:rPr lang="en-GB" sz="1100">
                <a:solidFill>
                  <a:schemeClr val="bg1"/>
                </a:solidFill>
                <a:effectLst/>
                <a:latin typeface="+mn-lt"/>
                <a:ea typeface="Calibri" charset="0"/>
                <a:cs typeface="Times New Roman" charset="0"/>
              </a:rPr>
              <a:t> </a:t>
            </a:r>
          </a:p>
          <a:p>
            <a:pPr marL="0" marR="0" algn="ctr">
              <a:spcBef>
                <a:spcPts val="0"/>
              </a:spcBef>
              <a:spcAft>
                <a:spcPts val="0"/>
              </a:spcAft>
            </a:pPr>
            <a:endParaRPr lang="en-GB" sz="1100">
              <a:solidFill>
                <a:schemeClr val="bg1"/>
              </a:solidFill>
              <a:effectLst/>
              <a:latin typeface="+mn-lt"/>
              <a:ea typeface="Calibri" charset="0"/>
              <a:cs typeface="Times New Roman" charset="0"/>
            </a:endParaRPr>
          </a:p>
          <a:p>
            <a:pPr marL="0" marR="0">
              <a:spcBef>
                <a:spcPts val="0"/>
              </a:spcBef>
              <a:spcAft>
                <a:spcPts val="0"/>
              </a:spcAft>
            </a:pPr>
            <a:endParaRPr lang="en-US" sz="1100">
              <a:solidFill>
                <a:schemeClr val="bg1"/>
              </a:solidFill>
              <a:effectLst/>
              <a:latin typeface="+mn-lt"/>
              <a:ea typeface="Calibri" charset="0"/>
              <a:cs typeface="Times New Roman" charset="0"/>
            </a:endParaRPr>
          </a:p>
        </xdr:txBody>
      </xdr:sp>
      <xdr:grpSp>
        <xdr:nvGrpSpPr>
          <xdr:cNvPr id="2" name="Group 1">
            <a:extLst>
              <a:ext uri="{FF2B5EF4-FFF2-40B4-BE49-F238E27FC236}">
                <a16:creationId xmlns:a16="http://schemas.microsoft.com/office/drawing/2014/main" id="{46F65A67-2192-4764-AC77-A72E49EAA81F}"/>
              </a:ext>
            </a:extLst>
          </xdr:cNvPr>
          <xdr:cNvGrpSpPr/>
        </xdr:nvGrpSpPr>
        <xdr:grpSpPr>
          <a:xfrm>
            <a:off x="2837022" y="4286705"/>
            <a:ext cx="456565" cy="1493190"/>
            <a:chOff x="2829707" y="4389118"/>
            <a:chExt cx="456565" cy="1493190"/>
          </a:xfrm>
        </xdr:grpSpPr>
        <xdr:cxnSp macro="">
          <xdr:nvCxnSpPr>
            <xdr:cNvPr id="15" name="Straight Connector 14">
              <a:extLst>
                <a:ext uri="{FF2B5EF4-FFF2-40B4-BE49-F238E27FC236}">
                  <a16:creationId xmlns:a16="http://schemas.microsoft.com/office/drawing/2014/main" id="{54A86BC7-D1B6-4F5C-892C-68F530E7F3D5}"/>
                </a:ext>
              </a:extLst>
            </xdr:cNvPr>
            <xdr:cNvCxnSpPr/>
          </xdr:nvCxnSpPr>
          <xdr:spPr>
            <a:xfrm flipH="1">
              <a:off x="2830978" y="4389118"/>
              <a:ext cx="4445" cy="1491615"/>
            </a:xfrm>
            <a:prstGeom prst="line">
              <a:avLst/>
            </a:prstGeom>
            <a:ln>
              <a:solidFill>
                <a:srgbClr val="3E6129"/>
              </a:solidFill>
            </a:ln>
          </xdr:spPr>
          <xdr:style>
            <a:lnRef idx="2">
              <a:schemeClr val="accent6"/>
            </a:lnRef>
            <a:fillRef idx="0">
              <a:schemeClr val="accent6"/>
            </a:fillRef>
            <a:effectRef idx="1">
              <a:schemeClr val="accent6"/>
            </a:effectRef>
            <a:fontRef idx="minor">
              <a:schemeClr val="tx1"/>
            </a:fontRef>
          </xdr:style>
        </xdr:cxnSp>
        <xdr:cxnSp macro="">
          <xdr:nvCxnSpPr>
            <xdr:cNvPr id="16" name="Straight Arrow Connector 15">
              <a:extLst>
                <a:ext uri="{FF2B5EF4-FFF2-40B4-BE49-F238E27FC236}">
                  <a16:creationId xmlns:a16="http://schemas.microsoft.com/office/drawing/2014/main" id="{8D529A40-E9C4-45F3-B656-6B79FD3F8348}"/>
                </a:ext>
              </a:extLst>
            </xdr:cNvPr>
            <xdr:cNvCxnSpPr/>
          </xdr:nvCxnSpPr>
          <xdr:spPr>
            <a:xfrm>
              <a:off x="2829707" y="5882308"/>
              <a:ext cx="456565" cy="0"/>
            </a:xfrm>
            <a:prstGeom prst="straightConnector1">
              <a:avLst/>
            </a:prstGeom>
            <a:ln>
              <a:solidFill>
                <a:srgbClr val="3E6129"/>
              </a:solidFill>
              <a:tailEnd type="triangle"/>
            </a:ln>
          </xdr:spPr>
          <xdr:style>
            <a:lnRef idx="2">
              <a:schemeClr val="accent6"/>
            </a:lnRef>
            <a:fillRef idx="0">
              <a:schemeClr val="accent6"/>
            </a:fillRef>
            <a:effectRef idx="1">
              <a:schemeClr val="accent6"/>
            </a:effectRef>
            <a:fontRef idx="minor">
              <a:schemeClr val="tx1"/>
            </a:fontRef>
          </xdr:style>
        </xdr:cxnSp>
      </xdr:grpSp>
      <xdr:grpSp>
        <xdr:nvGrpSpPr>
          <xdr:cNvPr id="18" name="Group 17">
            <a:extLst>
              <a:ext uri="{FF2B5EF4-FFF2-40B4-BE49-F238E27FC236}">
                <a16:creationId xmlns:a16="http://schemas.microsoft.com/office/drawing/2014/main" id="{03BB63EB-6570-463A-A828-179FFBBD1BF3}"/>
              </a:ext>
            </a:extLst>
          </xdr:cNvPr>
          <xdr:cNvGrpSpPr/>
        </xdr:nvGrpSpPr>
        <xdr:grpSpPr>
          <a:xfrm flipH="1">
            <a:off x="5859475" y="4286707"/>
            <a:ext cx="456565" cy="1493190"/>
            <a:chOff x="2829707" y="4389118"/>
            <a:chExt cx="456565" cy="1493190"/>
          </a:xfrm>
        </xdr:grpSpPr>
        <xdr:cxnSp macro="">
          <xdr:nvCxnSpPr>
            <xdr:cNvPr id="19" name="Straight Connector 18">
              <a:extLst>
                <a:ext uri="{FF2B5EF4-FFF2-40B4-BE49-F238E27FC236}">
                  <a16:creationId xmlns:a16="http://schemas.microsoft.com/office/drawing/2014/main" id="{60140E2B-6E7E-4812-AA76-9D81021A7AF2}"/>
                </a:ext>
              </a:extLst>
            </xdr:cNvPr>
            <xdr:cNvCxnSpPr/>
          </xdr:nvCxnSpPr>
          <xdr:spPr>
            <a:xfrm flipH="1">
              <a:off x="2830978" y="4389118"/>
              <a:ext cx="4445" cy="1491615"/>
            </a:xfrm>
            <a:prstGeom prst="line">
              <a:avLst/>
            </a:prstGeom>
            <a:ln>
              <a:solidFill>
                <a:srgbClr val="3E6129"/>
              </a:solidFill>
            </a:ln>
          </xdr:spPr>
          <xdr:style>
            <a:lnRef idx="2">
              <a:schemeClr val="accent6"/>
            </a:lnRef>
            <a:fillRef idx="0">
              <a:schemeClr val="accent6"/>
            </a:fillRef>
            <a:effectRef idx="1">
              <a:schemeClr val="accent6"/>
            </a:effectRef>
            <a:fontRef idx="minor">
              <a:schemeClr val="tx1"/>
            </a:fontRef>
          </xdr:style>
        </xdr:cxnSp>
        <xdr:cxnSp macro="">
          <xdr:nvCxnSpPr>
            <xdr:cNvPr id="20" name="Straight Arrow Connector 19">
              <a:extLst>
                <a:ext uri="{FF2B5EF4-FFF2-40B4-BE49-F238E27FC236}">
                  <a16:creationId xmlns:a16="http://schemas.microsoft.com/office/drawing/2014/main" id="{90B8B2A7-AD3E-4A36-B930-31474B89095F}"/>
                </a:ext>
              </a:extLst>
            </xdr:cNvPr>
            <xdr:cNvCxnSpPr/>
          </xdr:nvCxnSpPr>
          <xdr:spPr>
            <a:xfrm>
              <a:off x="2829707" y="5882308"/>
              <a:ext cx="456565" cy="0"/>
            </a:xfrm>
            <a:prstGeom prst="straightConnector1">
              <a:avLst/>
            </a:prstGeom>
            <a:ln>
              <a:solidFill>
                <a:srgbClr val="3E6129"/>
              </a:solidFill>
              <a:tailEnd type="triangle"/>
            </a:ln>
          </xdr:spPr>
          <xdr:style>
            <a:lnRef idx="2">
              <a:schemeClr val="accent6"/>
            </a:lnRef>
            <a:fillRef idx="0">
              <a:schemeClr val="accent6"/>
            </a:fillRef>
            <a:effectRef idx="1">
              <a:schemeClr val="accent6"/>
            </a:effectRef>
            <a:fontRef idx="minor">
              <a:schemeClr val="tx1"/>
            </a:fontRef>
          </xdr:style>
        </xdr:cxnSp>
      </xdr:grpSp>
      <xdr:cxnSp macro="">
        <xdr:nvCxnSpPr>
          <xdr:cNvPr id="24" name="Straight Arrow Connector 23">
            <a:extLst>
              <a:ext uri="{FF2B5EF4-FFF2-40B4-BE49-F238E27FC236}">
                <a16:creationId xmlns:a16="http://schemas.microsoft.com/office/drawing/2014/main" id="{D11A8107-F30E-4147-8009-53D4B0BED46F}"/>
              </a:ext>
            </a:extLst>
          </xdr:cNvPr>
          <xdr:cNvCxnSpPr>
            <a:stCxn id="9" idx="2"/>
            <a:endCxn id="14" idx="0"/>
          </xdr:cNvCxnSpPr>
        </xdr:nvCxnSpPr>
        <xdr:spPr>
          <a:xfrm flipH="1">
            <a:off x="4568342" y="6686346"/>
            <a:ext cx="2749" cy="387452"/>
          </a:xfrm>
          <a:prstGeom prst="straightConnector1">
            <a:avLst/>
          </a:prstGeom>
          <a:ln>
            <a:solidFill>
              <a:schemeClr val="accent6">
                <a:lumMod val="50000"/>
              </a:schemeClr>
            </a:solidFill>
            <a:tailEnd type="triangle"/>
          </a:ln>
        </xdr:spPr>
        <xdr:style>
          <a:lnRef idx="2">
            <a:schemeClr val="accent6"/>
          </a:lnRef>
          <a:fillRef idx="0">
            <a:schemeClr val="accent6"/>
          </a:fillRef>
          <a:effectRef idx="1">
            <a:schemeClr val="accent6"/>
          </a:effectRef>
          <a:fontRef idx="minor">
            <a:schemeClr val="tx1"/>
          </a:fontRef>
        </xdr:style>
      </xdr:cxn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508BC5-7FC4-473C-B354-0B0267AB5965}" name="Table2" displayName="Table2" ref="C6:E10" totalsRowShown="0" headerRowDxfId="5" dataDxfId="3" headerRowBorderDxfId="4">
  <tableColumns count="3">
    <tableColumn id="1" xr3:uid="{BFF977C6-0E3F-4188-A2B2-4AAA099EE311}" name="Level of Infestation_x000a_(density state)" dataDxfId="2"/>
    <tableColumn id="2" xr3:uid="{B5FBA853-8C34-4E3D-9B5D-36E9D6766023}" name="Blackgrass Density _x000a_(Plants per 400 (20×20) m2)" dataDxfId="1"/>
    <tableColumn id="3" xr3:uid="{2CB9DB1A-054B-475E-BCB0-238A90BD5D93}" name="Reduction in Winter Wheat Yield _x000a_(%)"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6"/>
  <sheetViews>
    <sheetView showGridLines="0" tabSelected="1" workbookViewId="0">
      <selection activeCell="B67" sqref="B67"/>
    </sheetView>
  </sheetViews>
  <sheetFormatPr defaultColWidth="10.81640625" defaultRowHeight="18" customHeight="1" x14ac:dyDescent="0.3"/>
  <cols>
    <col min="1" max="1" width="8.6328125" style="2" customWidth="1"/>
    <col min="2" max="2" width="3.6328125" style="2" customWidth="1"/>
    <col min="3" max="3" width="6.453125" style="1" customWidth="1"/>
    <col min="4" max="4" width="7.36328125" style="2" customWidth="1"/>
    <col min="5" max="15" width="10.81640625" style="2"/>
    <col min="16" max="16" width="3.6328125" style="2" customWidth="1"/>
    <col min="17" max="17" width="8.6328125" style="2" customWidth="1"/>
    <col min="18" max="16384" width="10.81640625" style="2"/>
  </cols>
  <sheetData>
    <row r="1" spans="1:17" ht="8.1" customHeight="1" x14ac:dyDescent="0.3">
      <c r="A1" s="10"/>
      <c r="B1" s="10"/>
      <c r="C1" s="173"/>
      <c r="D1" s="10"/>
      <c r="E1" s="10"/>
      <c r="F1" s="10"/>
      <c r="G1" s="10"/>
      <c r="H1" s="10"/>
      <c r="I1" s="10"/>
      <c r="J1" s="10"/>
      <c r="K1" s="10"/>
      <c r="L1" s="10"/>
      <c r="M1" s="10"/>
      <c r="N1" s="10"/>
      <c r="O1" s="10"/>
      <c r="P1" s="10"/>
      <c r="Q1" s="10"/>
    </row>
    <row r="2" spans="1:17" ht="8.1" customHeight="1" x14ac:dyDescent="0.3">
      <c r="A2" s="10"/>
      <c r="Q2" s="10"/>
    </row>
    <row r="3" spans="1:17" s="3" customFormat="1" ht="18" customHeight="1" x14ac:dyDescent="0.35">
      <c r="A3" s="11"/>
      <c r="C3" s="136" t="s">
        <v>376</v>
      </c>
      <c r="D3" s="137"/>
      <c r="E3" s="137"/>
      <c r="F3" s="138" t="s">
        <v>377</v>
      </c>
      <c r="G3" s="138"/>
      <c r="H3" s="138"/>
      <c r="I3" s="137"/>
      <c r="J3" s="137"/>
      <c r="K3" s="137"/>
      <c r="L3" s="137"/>
      <c r="M3" s="137"/>
      <c r="N3" s="137"/>
      <c r="O3" s="137"/>
      <c r="Q3" s="11"/>
    </row>
    <row r="4" spans="1:17" s="3" customFormat="1" ht="18" customHeight="1" x14ac:dyDescent="0.35">
      <c r="A4" s="11"/>
      <c r="C4" s="136" t="s">
        <v>0</v>
      </c>
      <c r="D4" s="137"/>
      <c r="E4" s="137"/>
      <c r="F4" s="137" t="s">
        <v>373</v>
      </c>
      <c r="G4" s="137"/>
      <c r="H4" s="137"/>
      <c r="I4" s="137"/>
      <c r="J4" s="137"/>
      <c r="K4" s="137"/>
      <c r="L4" s="137"/>
      <c r="M4" s="137"/>
      <c r="N4" s="137"/>
      <c r="O4" s="137"/>
      <c r="Q4" s="11"/>
    </row>
    <row r="5" spans="1:17" s="3" customFormat="1" ht="18" customHeight="1" x14ac:dyDescent="0.35">
      <c r="A5" s="11"/>
      <c r="C5" s="136" t="s">
        <v>1</v>
      </c>
      <c r="D5" s="137"/>
      <c r="E5" s="137"/>
      <c r="F5" s="137" t="s">
        <v>353</v>
      </c>
      <c r="G5" s="137"/>
      <c r="H5" s="137"/>
      <c r="I5" s="137"/>
      <c r="J5" s="137"/>
      <c r="K5" s="137"/>
      <c r="L5" s="137"/>
      <c r="M5" s="137"/>
      <c r="N5" s="137"/>
      <c r="O5" s="137"/>
      <c r="Q5" s="11"/>
    </row>
    <row r="6" spans="1:17" s="3" customFormat="1" ht="18" customHeight="1" x14ac:dyDescent="0.35">
      <c r="A6" s="11"/>
      <c r="C6" s="136" t="s">
        <v>374</v>
      </c>
      <c r="D6" s="137"/>
      <c r="E6" s="137"/>
      <c r="F6" s="137" t="s">
        <v>375</v>
      </c>
      <c r="G6" s="137"/>
      <c r="H6" s="137"/>
      <c r="I6" s="137"/>
      <c r="J6" s="137"/>
      <c r="K6" s="137"/>
      <c r="L6" s="137"/>
      <c r="M6" s="137"/>
      <c r="N6" s="137"/>
      <c r="O6" s="137"/>
      <c r="Q6" s="11"/>
    </row>
    <row r="7" spans="1:17" s="3" customFormat="1" ht="18" customHeight="1" x14ac:dyDescent="0.35">
      <c r="A7" s="11"/>
      <c r="C7" s="136" t="s">
        <v>441</v>
      </c>
      <c r="D7" s="137"/>
      <c r="E7" s="137"/>
      <c r="F7" s="137" t="s">
        <v>442</v>
      </c>
      <c r="G7" s="137"/>
      <c r="H7" s="137"/>
      <c r="I7" s="137"/>
      <c r="J7" s="137"/>
      <c r="K7" s="137"/>
      <c r="L7" s="137"/>
      <c r="M7" s="137"/>
      <c r="N7" s="137"/>
      <c r="O7" s="137"/>
      <c r="Q7" s="11"/>
    </row>
    <row r="8" spans="1:17" s="3" customFormat="1" ht="18" customHeight="1" x14ac:dyDescent="0.35">
      <c r="A8" s="11"/>
      <c r="C8" s="136" t="s">
        <v>482</v>
      </c>
      <c r="D8" s="137"/>
      <c r="E8" s="137"/>
      <c r="F8" s="137" t="s">
        <v>483</v>
      </c>
      <c r="G8" s="137"/>
      <c r="H8" s="137"/>
      <c r="I8" s="137"/>
      <c r="J8" s="137"/>
      <c r="K8" s="137"/>
      <c r="L8" s="137"/>
      <c r="M8" s="137"/>
      <c r="N8" s="137"/>
      <c r="O8" s="137"/>
      <c r="Q8" s="11"/>
    </row>
    <row r="9" spans="1:17" ht="8.1" customHeight="1" x14ac:dyDescent="0.3">
      <c r="A9" s="10"/>
      <c r="C9" s="4"/>
      <c r="Q9" s="10"/>
    </row>
    <row r="10" spans="1:17" s="3" customFormat="1" ht="18" customHeight="1" x14ac:dyDescent="0.35">
      <c r="A10" s="11"/>
      <c r="C10" s="139" t="s">
        <v>2</v>
      </c>
      <c r="D10" s="140"/>
      <c r="E10" s="140"/>
      <c r="F10" s="180" t="s">
        <v>410</v>
      </c>
      <c r="G10" s="180"/>
      <c r="H10" s="180"/>
      <c r="I10" s="180"/>
      <c r="J10" s="180"/>
      <c r="K10" s="180"/>
      <c r="L10" s="180"/>
      <c r="M10" s="180"/>
      <c r="N10" s="180"/>
      <c r="O10" s="140"/>
      <c r="Q10" s="11"/>
    </row>
    <row r="11" spans="1:17" s="3" customFormat="1" ht="23.05" customHeight="1" x14ac:dyDescent="0.35">
      <c r="A11" s="11"/>
      <c r="C11" s="141"/>
      <c r="D11" s="140"/>
      <c r="E11" s="140"/>
      <c r="F11" s="180"/>
      <c r="G11" s="180"/>
      <c r="H11" s="180"/>
      <c r="I11" s="180"/>
      <c r="J11" s="180"/>
      <c r="K11" s="180"/>
      <c r="L11" s="180"/>
      <c r="M11" s="180"/>
      <c r="N11" s="180"/>
      <c r="O11" s="140"/>
      <c r="Q11" s="11"/>
    </row>
    <row r="12" spans="1:17" s="3" customFormat="1" ht="20.2" customHeight="1" x14ac:dyDescent="0.35">
      <c r="A12" s="11"/>
      <c r="C12" s="141"/>
      <c r="D12" s="140"/>
      <c r="E12" s="140"/>
      <c r="F12" s="180"/>
      <c r="G12" s="180"/>
      <c r="H12" s="180"/>
      <c r="I12" s="180"/>
      <c r="J12" s="180"/>
      <c r="K12" s="180"/>
      <c r="L12" s="180"/>
      <c r="M12" s="180"/>
      <c r="N12" s="180"/>
      <c r="O12" s="140"/>
      <c r="Q12" s="11"/>
    </row>
    <row r="13" spans="1:17" ht="8.1" customHeight="1" x14ac:dyDescent="0.3">
      <c r="A13" s="10"/>
      <c r="F13" s="5"/>
      <c r="G13" s="5"/>
      <c r="H13" s="5"/>
      <c r="I13" s="5"/>
      <c r="J13" s="5"/>
      <c r="K13" s="5"/>
      <c r="L13" s="5"/>
      <c r="M13" s="5"/>
      <c r="N13" s="5"/>
      <c r="Q13" s="10"/>
    </row>
    <row r="14" spans="1:17" ht="18" customHeight="1" x14ac:dyDescent="0.3">
      <c r="A14" s="10"/>
      <c r="C14" s="142" t="s">
        <v>372</v>
      </c>
      <c r="D14" s="143"/>
      <c r="E14" s="144"/>
      <c r="F14" s="144"/>
      <c r="G14" s="144"/>
      <c r="H14" s="144"/>
      <c r="I14" s="144"/>
      <c r="J14" s="144"/>
      <c r="K14" s="144"/>
      <c r="L14" s="144"/>
      <c r="M14" s="144"/>
      <c r="N14" s="144"/>
      <c r="O14" s="144"/>
      <c r="Q14" s="10"/>
    </row>
    <row r="15" spans="1:17" ht="18" customHeight="1" x14ac:dyDescent="0.3">
      <c r="A15" s="10"/>
      <c r="C15" s="145">
        <v>1</v>
      </c>
      <c r="D15" s="146" t="s">
        <v>437</v>
      </c>
      <c r="E15" s="144"/>
      <c r="F15" s="144"/>
      <c r="G15" s="144"/>
      <c r="H15" s="144"/>
      <c r="I15" s="144"/>
      <c r="J15" s="144"/>
      <c r="K15" s="144"/>
      <c r="L15" s="144"/>
      <c r="M15" s="144"/>
      <c r="N15" s="144"/>
      <c r="O15" s="144"/>
      <c r="Q15" s="10"/>
    </row>
    <row r="16" spans="1:17" ht="18" customHeight="1" x14ac:dyDescent="0.3">
      <c r="A16" s="10"/>
      <c r="C16" s="145"/>
      <c r="D16" s="146" t="s">
        <v>438</v>
      </c>
      <c r="E16" s="144"/>
      <c r="F16" s="144"/>
      <c r="G16" s="144"/>
      <c r="H16" s="144"/>
      <c r="I16" s="144"/>
      <c r="J16" s="144"/>
      <c r="K16" s="144"/>
      <c r="L16" s="144"/>
      <c r="M16" s="144"/>
      <c r="N16" s="144"/>
      <c r="O16" s="144"/>
      <c r="Q16" s="10"/>
    </row>
    <row r="17" spans="1:17" ht="18" customHeight="1" x14ac:dyDescent="0.3">
      <c r="A17" s="10"/>
      <c r="C17" s="147">
        <v>2</v>
      </c>
      <c r="D17" s="146" t="s">
        <v>4</v>
      </c>
      <c r="E17" s="144"/>
      <c r="F17" s="144"/>
      <c r="G17" s="144"/>
      <c r="H17" s="144"/>
      <c r="I17" s="144"/>
      <c r="J17" s="144"/>
      <c r="K17" s="144"/>
      <c r="L17" s="144"/>
      <c r="M17" s="144"/>
      <c r="N17" s="144"/>
      <c r="O17" s="144"/>
      <c r="Q17" s="10"/>
    </row>
    <row r="18" spans="1:17" ht="18" customHeight="1" x14ac:dyDescent="0.3">
      <c r="A18" s="10"/>
      <c r="C18" s="145">
        <v>3</v>
      </c>
      <c r="D18" s="146" t="s">
        <v>370</v>
      </c>
      <c r="E18" s="144"/>
      <c r="F18" s="144"/>
      <c r="G18" s="144"/>
      <c r="H18" s="144"/>
      <c r="I18" s="144"/>
      <c r="J18" s="144"/>
      <c r="K18" s="144"/>
      <c r="L18" s="144"/>
      <c r="M18" s="144"/>
      <c r="N18" s="144"/>
      <c r="O18" s="144"/>
      <c r="Q18" s="10"/>
    </row>
    <row r="19" spans="1:17" ht="18" customHeight="1" x14ac:dyDescent="0.3">
      <c r="A19" s="10"/>
      <c r="C19" s="147">
        <v>4</v>
      </c>
      <c r="D19" s="146" t="s">
        <v>368</v>
      </c>
      <c r="E19" s="144"/>
      <c r="F19" s="144"/>
      <c r="G19" s="144"/>
      <c r="H19" s="144"/>
      <c r="I19" s="144"/>
      <c r="J19" s="144"/>
      <c r="K19" s="144"/>
      <c r="L19" s="144"/>
      <c r="M19" s="144"/>
      <c r="N19" s="144"/>
      <c r="O19" s="144"/>
      <c r="Q19" s="10"/>
    </row>
    <row r="20" spans="1:17" ht="18" customHeight="1" x14ac:dyDescent="0.3">
      <c r="A20" s="10"/>
      <c r="C20" s="145">
        <v>5</v>
      </c>
      <c r="D20" s="146" t="s">
        <v>357</v>
      </c>
      <c r="E20" s="144"/>
      <c r="F20" s="144"/>
      <c r="G20" s="144"/>
      <c r="H20" s="144"/>
      <c r="I20" s="144"/>
      <c r="J20" s="144"/>
      <c r="K20" s="144"/>
      <c r="L20" s="144"/>
      <c r="M20" s="144"/>
      <c r="N20" s="144"/>
      <c r="O20" s="144"/>
      <c r="Q20" s="10"/>
    </row>
    <row r="21" spans="1:17" ht="18" customHeight="1" x14ac:dyDescent="0.3">
      <c r="A21" s="10"/>
      <c r="C21" s="147">
        <v>6</v>
      </c>
      <c r="D21" s="146" t="s">
        <v>356</v>
      </c>
      <c r="E21" s="144"/>
      <c r="F21" s="144"/>
      <c r="G21" s="144"/>
      <c r="H21" s="144"/>
      <c r="I21" s="144"/>
      <c r="J21" s="144"/>
      <c r="K21" s="144"/>
      <c r="L21" s="144"/>
      <c r="M21" s="144"/>
      <c r="N21" s="144"/>
      <c r="O21" s="144"/>
      <c r="Q21" s="10"/>
    </row>
    <row r="22" spans="1:17" ht="18" customHeight="1" x14ac:dyDescent="0.3">
      <c r="A22" s="10"/>
      <c r="C22" s="145">
        <v>7</v>
      </c>
      <c r="D22" s="146" t="s">
        <v>367</v>
      </c>
      <c r="E22" s="144"/>
      <c r="F22" s="144"/>
      <c r="G22" s="144"/>
      <c r="H22" s="144"/>
      <c r="I22" s="144"/>
      <c r="J22" s="144"/>
      <c r="K22" s="144"/>
      <c r="L22" s="144"/>
      <c r="M22" s="144"/>
      <c r="N22" s="144"/>
      <c r="O22" s="144"/>
      <c r="Q22" s="10"/>
    </row>
    <row r="23" spans="1:17" ht="18" customHeight="1" x14ac:dyDescent="0.3">
      <c r="A23" s="10"/>
      <c r="C23" s="147">
        <v>8</v>
      </c>
      <c r="D23" s="147" t="s">
        <v>358</v>
      </c>
      <c r="E23" s="144"/>
      <c r="F23" s="144"/>
      <c r="G23" s="144"/>
      <c r="H23" s="144"/>
      <c r="I23" s="144"/>
      <c r="J23" s="144"/>
      <c r="K23" s="144"/>
      <c r="L23" s="144"/>
      <c r="M23" s="144"/>
      <c r="N23" s="144"/>
      <c r="O23" s="144"/>
      <c r="Q23" s="10"/>
    </row>
    <row r="24" spans="1:17" ht="18" customHeight="1" x14ac:dyDescent="0.3">
      <c r="A24" s="10"/>
      <c r="C24" s="145">
        <v>9</v>
      </c>
      <c r="D24" s="146" t="s">
        <v>3</v>
      </c>
      <c r="E24" s="144"/>
      <c r="F24" s="144"/>
      <c r="G24" s="144"/>
      <c r="H24" s="144"/>
      <c r="I24" s="144"/>
      <c r="J24" s="144"/>
      <c r="K24" s="144"/>
      <c r="L24" s="144"/>
      <c r="M24" s="144"/>
      <c r="N24" s="144"/>
      <c r="O24" s="144"/>
      <c r="Q24" s="10"/>
    </row>
    <row r="25" spans="1:17" ht="18" customHeight="1" x14ac:dyDescent="0.3">
      <c r="A25" s="10"/>
      <c r="C25" s="147">
        <v>10</v>
      </c>
      <c r="D25" s="146" t="s">
        <v>359</v>
      </c>
      <c r="E25" s="144"/>
      <c r="F25" s="144"/>
      <c r="G25" s="144"/>
      <c r="H25" s="144"/>
      <c r="I25" s="144"/>
      <c r="J25" s="144"/>
      <c r="K25" s="144"/>
      <c r="L25" s="144"/>
      <c r="M25" s="144"/>
      <c r="N25" s="144"/>
      <c r="O25" s="144"/>
      <c r="Q25" s="10"/>
    </row>
    <row r="26" spans="1:17" ht="18" customHeight="1" x14ac:dyDescent="0.3">
      <c r="A26" s="10"/>
      <c r="C26" s="145">
        <v>11</v>
      </c>
      <c r="D26" s="146" t="s">
        <v>355</v>
      </c>
      <c r="E26" s="144"/>
      <c r="F26" s="144"/>
      <c r="G26" s="144"/>
      <c r="H26" s="144"/>
      <c r="I26" s="144"/>
      <c r="J26" s="144"/>
      <c r="K26" s="144"/>
      <c r="L26" s="144"/>
      <c r="M26" s="144"/>
      <c r="N26" s="144"/>
      <c r="O26" s="144"/>
      <c r="Q26" s="10"/>
    </row>
    <row r="27" spans="1:17" ht="18" customHeight="1" x14ac:dyDescent="0.3">
      <c r="A27" s="10"/>
      <c r="C27" s="147">
        <v>12</v>
      </c>
      <c r="D27" s="146" t="s">
        <v>360</v>
      </c>
      <c r="E27" s="144"/>
      <c r="F27" s="144"/>
      <c r="G27" s="144"/>
      <c r="H27" s="144"/>
      <c r="I27" s="144"/>
      <c r="J27" s="144"/>
      <c r="K27" s="144"/>
      <c r="L27" s="144"/>
      <c r="M27" s="144"/>
      <c r="N27" s="144"/>
      <c r="O27" s="144"/>
      <c r="Q27" s="10"/>
    </row>
    <row r="28" spans="1:17" ht="18" customHeight="1" x14ac:dyDescent="0.3">
      <c r="A28" s="10"/>
      <c r="C28" s="145">
        <v>13</v>
      </c>
      <c r="D28" s="146" t="s">
        <v>361</v>
      </c>
      <c r="E28" s="144"/>
      <c r="F28" s="144"/>
      <c r="G28" s="144"/>
      <c r="H28" s="144"/>
      <c r="I28" s="144"/>
      <c r="J28" s="144"/>
      <c r="K28" s="144"/>
      <c r="L28" s="144"/>
      <c r="M28" s="144"/>
      <c r="N28" s="144"/>
      <c r="O28" s="144"/>
      <c r="Q28" s="10"/>
    </row>
    <row r="29" spans="1:17" ht="18" customHeight="1" x14ac:dyDescent="0.3">
      <c r="A29" s="10"/>
      <c r="C29" s="147">
        <v>14</v>
      </c>
      <c r="D29" s="146" t="s">
        <v>362</v>
      </c>
      <c r="E29" s="144"/>
      <c r="F29" s="144"/>
      <c r="G29" s="144"/>
      <c r="H29" s="144"/>
      <c r="I29" s="144"/>
      <c r="J29" s="144"/>
      <c r="K29" s="144"/>
      <c r="L29" s="144"/>
      <c r="M29" s="144"/>
      <c r="N29" s="144"/>
      <c r="O29" s="144"/>
      <c r="Q29" s="10"/>
    </row>
    <row r="30" spans="1:17" ht="18" customHeight="1" x14ac:dyDescent="0.3">
      <c r="A30" s="10"/>
      <c r="C30" s="145">
        <v>15</v>
      </c>
      <c r="D30" s="146" t="s">
        <v>363</v>
      </c>
      <c r="E30" s="144"/>
      <c r="F30" s="144"/>
      <c r="G30" s="144"/>
      <c r="H30" s="144"/>
      <c r="I30" s="144"/>
      <c r="J30" s="144"/>
      <c r="K30" s="144"/>
      <c r="L30" s="144"/>
      <c r="M30" s="144"/>
      <c r="N30" s="144"/>
      <c r="O30" s="144"/>
      <c r="Q30" s="10"/>
    </row>
    <row r="31" spans="1:17" ht="18" customHeight="1" x14ac:dyDescent="0.3">
      <c r="A31" s="10"/>
      <c r="C31" s="147">
        <v>16</v>
      </c>
      <c r="D31" s="146" t="s">
        <v>364</v>
      </c>
      <c r="E31" s="144"/>
      <c r="F31" s="144"/>
      <c r="G31" s="144"/>
      <c r="H31" s="144"/>
      <c r="I31" s="144"/>
      <c r="J31" s="144"/>
      <c r="K31" s="144"/>
      <c r="L31" s="144"/>
      <c r="M31" s="144"/>
      <c r="N31" s="144"/>
      <c r="O31" s="144"/>
      <c r="Q31" s="10"/>
    </row>
    <row r="32" spans="1:17" ht="18" customHeight="1" x14ac:dyDescent="0.3">
      <c r="A32" s="10"/>
      <c r="C32" s="145">
        <v>17</v>
      </c>
      <c r="D32" s="146" t="s">
        <v>365</v>
      </c>
      <c r="E32" s="144"/>
      <c r="F32" s="144"/>
      <c r="G32" s="144"/>
      <c r="H32" s="144"/>
      <c r="I32" s="144"/>
      <c r="J32" s="144"/>
      <c r="K32" s="144"/>
      <c r="L32" s="144"/>
      <c r="M32" s="144"/>
      <c r="N32" s="144"/>
      <c r="O32" s="144"/>
      <c r="Q32" s="10"/>
    </row>
    <row r="33" spans="1:17" ht="18" customHeight="1" x14ac:dyDescent="0.3">
      <c r="A33" s="10"/>
      <c r="C33" s="147">
        <v>18</v>
      </c>
      <c r="D33" s="146" t="s">
        <v>366</v>
      </c>
      <c r="E33" s="144"/>
      <c r="F33" s="144"/>
      <c r="G33" s="144"/>
      <c r="H33" s="144"/>
      <c r="I33" s="144"/>
      <c r="J33" s="144"/>
      <c r="K33" s="144"/>
      <c r="L33" s="144"/>
      <c r="M33" s="144"/>
      <c r="N33" s="144"/>
      <c r="O33" s="144"/>
      <c r="Q33" s="10"/>
    </row>
    <row r="34" spans="1:17" ht="18" customHeight="1" x14ac:dyDescent="0.3">
      <c r="A34" s="10"/>
      <c r="C34" s="145">
        <v>19</v>
      </c>
      <c r="D34" s="146" t="s">
        <v>369</v>
      </c>
      <c r="E34" s="144"/>
      <c r="F34" s="144"/>
      <c r="G34" s="144"/>
      <c r="H34" s="144"/>
      <c r="I34" s="144"/>
      <c r="J34" s="144"/>
      <c r="K34" s="144"/>
      <c r="L34" s="144"/>
      <c r="M34" s="144"/>
      <c r="N34" s="144"/>
      <c r="O34" s="144"/>
      <c r="Q34" s="10"/>
    </row>
    <row r="35" spans="1:17" ht="18" customHeight="1" x14ac:dyDescent="0.3">
      <c r="A35" s="10"/>
      <c r="C35" s="147">
        <v>20</v>
      </c>
      <c r="D35" s="171" t="s">
        <v>436</v>
      </c>
      <c r="E35" s="170"/>
      <c r="F35" s="170"/>
      <c r="G35" s="170"/>
      <c r="H35" s="170"/>
      <c r="I35" s="170"/>
      <c r="J35" s="170"/>
      <c r="K35" s="170"/>
      <c r="L35" s="170"/>
      <c r="M35" s="170"/>
      <c r="N35" s="170"/>
      <c r="O35" s="170"/>
      <c r="Q35" s="10"/>
    </row>
    <row r="36" spans="1:17" ht="18" customHeight="1" x14ac:dyDescent="0.3">
      <c r="A36" s="10"/>
      <c r="C36" s="147"/>
      <c r="D36" s="171" t="s">
        <v>435</v>
      </c>
      <c r="E36" s="170"/>
      <c r="F36" s="170"/>
      <c r="G36" s="170"/>
      <c r="H36" s="170"/>
      <c r="I36" s="170"/>
      <c r="J36" s="170"/>
      <c r="K36" s="170"/>
      <c r="L36" s="170"/>
      <c r="M36" s="170"/>
      <c r="N36" s="170"/>
      <c r="O36" s="170"/>
      <c r="Q36" s="10"/>
    </row>
    <row r="37" spans="1:17" ht="18" customHeight="1" x14ac:dyDescent="0.3">
      <c r="A37" s="10"/>
      <c r="C37" s="145">
        <v>21</v>
      </c>
      <c r="D37" s="146" t="s">
        <v>481</v>
      </c>
      <c r="E37" s="144"/>
      <c r="F37" s="144"/>
      <c r="G37" s="144"/>
      <c r="H37" s="144"/>
      <c r="I37" s="144"/>
      <c r="J37" s="144"/>
      <c r="K37" s="144"/>
      <c r="L37" s="144"/>
      <c r="M37" s="144"/>
      <c r="N37" s="144"/>
      <c r="O37" s="144"/>
      <c r="Q37" s="10"/>
    </row>
    <row r="38" spans="1:17" ht="18" customHeight="1" x14ac:dyDescent="0.3">
      <c r="A38" s="10"/>
      <c r="C38" s="147">
        <v>22</v>
      </c>
      <c r="D38" s="146" t="s">
        <v>480</v>
      </c>
      <c r="E38" s="144"/>
      <c r="F38" s="144"/>
      <c r="G38" s="144"/>
      <c r="H38" s="144"/>
      <c r="I38" s="144"/>
      <c r="J38" s="144"/>
      <c r="K38" s="144"/>
      <c r="L38" s="144"/>
      <c r="M38" s="144"/>
      <c r="N38" s="144"/>
      <c r="O38" s="144"/>
      <c r="Q38" s="10"/>
    </row>
    <row r="39" spans="1:17" ht="18" customHeight="1" x14ac:dyDescent="0.3">
      <c r="A39" s="10"/>
      <c r="C39" s="145">
        <v>23</v>
      </c>
      <c r="D39" s="146" t="s">
        <v>354</v>
      </c>
      <c r="E39" s="144"/>
      <c r="F39" s="144"/>
      <c r="G39" s="144"/>
      <c r="H39" s="144"/>
      <c r="I39" s="144"/>
      <c r="J39" s="144"/>
      <c r="K39" s="144"/>
      <c r="L39" s="144"/>
      <c r="M39" s="144"/>
      <c r="N39" s="144"/>
      <c r="O39" s="144"/>
      <c r="Q39" s="10"/>
    </row>
    <row r="40" spans="1:17" ht="18" customHeight="1" x14ac:dyDescent="0.3">
      <c r="A40" s="10"/>
      <c r="C40" s="147">
        <v>24</v>
      </c>
      <c r="D40" s="146" t="s">
        <v>371</v>
      </c>
      <c r="E40" s="144"/>
      <c r="F40" s="144"/>
      <c r="G40" s="144"/>
      <c r="H40" s="144"/>
      <c r="I40" s="144"/>
      <c r="J40" s="144"/>
      <c r="K40" s="144"/>
      <c r="L40" s="144"/>
      <c r="M40" s="144"/>
      <c r="N40" s="144"/>
      <c r="O40" s="144"/>
      <c r="Q40" s="10"/>
    </row>
    <row r="41" spans="1:17" ht="18" customHeight="1" x14ac:dyDescent="0.3">
      <c r="A41" s="10"/>
      <c r="C41" s="145">
        <v>25</v>
      </c>
      <c r="D41" s="146" t="s">
        <v>6</v>
      </c>
      <c r="E41" s="144"/>
      <c r="F41" s="144"/>
      <c r="G41" s="144"/>
      <c r="H41" s="144"/>
      <c r="I41" s="144"/>
      <c r="J41" s="144"/>
      <c r="K41" s="144"/>
      <c r="L41" s="144"/>
      <c r="M41" s="144"/>
      <c r="N41" s="144"/>
      <c r="O41" s="144"/>
      <c r="Q41" s="10"/>
    </row>
    <row r="42" spans="1:17" ht="18" customHeight="1" x14ac:dyDescent="0.3">
      <c r="A42" s="10"/>
      <c r="C42" s="147">
        <v>26</v>
      </c>
      <c r="D42" s="146" t="s">
        <v>7</v>
      </c>
      <c r="E42" s="144"/>
      <c r="F42" s="144"/>
      <c r="G42" s="144"/>
      <c r="H42" s="144"/>
      <c r="I42" s="144"/>
      <c r="J42" s="144"/>
      <c r="K42" s="144"/>
      <c r="L42" s="144"/>
      <c r="M42" s="144"/>
      <c r="N42" s="144"/>
      <c r="O42" s="144"/>
      <c r="Q42" s="10"/>
    </row>
    <row r="43" spans="1:17" ht="18" customHeight="1" x14ac:dyDescent="0.3">
      <c r="A43" s="10"/>
      <c r="C43" s="145">
        <v>27</v>
      </c>
      <c r="D43" s="146" t="s">
        <v>484</v>
      </c>
      <c r="E43" s="144"/>
      <c r="F43" s="144"/>
      <c r="G43" s="144"/>
      <c r="H43" s="144"/>
      <c r="I43" s="144"/>
      <c r="J43" s="144"/>
      <c r="K43" s="144"/>
      <c r="L43" s="144"/>
      <c r="M43" s="144"/>
      <c r="N43" s="144"/>
      <c r="O43" s="144"/>
      <c r="Q43" s="10"/>
    </row>
    <row r="44" spans="1:17" ht="18" customHeight="1" x14ac:dyDescent="0.3">
      <c r="A44" s="10"/>
      <c r="C44" s="147">
        <v>28</v>
      </c>
      <c r="D44" s="146" t="s">
        <v>302</v>
      </c>
      <c r="E44" s="144"/>
      <c r="F44" s="144"/>
      <c r="G44" s="144"/>
      <c r="H44" s="144"/>
      <c r="I44" s="144"/>
      <c r="J44" s="144"/>
      <c r="K44" s="144"/>
      <c r="L44" s="144"/>
      <c r="M44" s="144"/>
      <c r="N44" s="144"/>
      <c r="O44" s="144"/>
      <c r="Q44" s="10"/>
    </row>
    <row r="45" spans="1:17" ht="18" customHeight="1" x14ac:dyDescent="0.3">
      <c r="A45" s="10"/>
      <c r="C45" s="145">
        <v>29</v>
      </c>
      <c r="D45" s="146" t="s">
        <v>8</v>
      </c>
      <c r="E45" s="144"/>
      <c r="F45" s="144"/>
      <c r="G45" s="144"/>
      <c r="H45" s="144"/>
      <c r="I45" s="144"/>
      <c r="J45" s="144"/>
      <c r="K45" s="144"/>
      <c r="L45" s="144"/>
      <c r="M45" s="144"/>
      <c r="N45" s="144"/>
      <c r="O45" s="144"/>
      <c r="Q45" s="10"/>
    </row>
    <row r="46" spans="1:17" ht="18" customHeight="1" x14ac:dyDescent="0.3">
      <c r="A46" s="10"/>
      <c r="C46" s="147">
        <v>30</v>
      </c>
      <c r="D46" s="146" t="s">
        <v>5</v>
      </c>
      <c r="E46" s="144"/>
      <c r="F46" s="144"/>
      <c r="G46" s="144"/>
      <c r="H46" s="144"/>
      <c r="I46" s="144"/>
      <c r="J46" s="144"/>
      <c r="K46" s="144"/>
      <c r="L46" s="144"/>
      <c r="M46" s="144"/>
      <c r="N46" s="144"/>
      <c r="O46" s="144"/>
      <c r="Q46" s="10"/>
    </row>
    <row r="47" spans="1:17" ht="18" customHeight="1" x14ac:dyDescent="0.3">
      <c r="A47" s="10"/>
      <c r="C47" s="145">
        <v>31</v>
      </c>
      <c r="D47" s="146" t="s">
        <v>9</v>
      </c>
      <c r="E47" s="144"/>
      <c r="F47" s="144"/>
      <c r="G47" s="144"/>
      <c r="H47" s="144"/>
      <c r="I47" s="144"/>
      <c r="J47" s="144"/>
      <c r="K47" s="144"/>
      <c r="L47" s="144"/>
      <c r="M47" s="144"/>
      <c r="N47" s="144"/>
      <c r="O47" s="144"/>
      <c r="Q47" s="10"/>
    </row>
    <row r="48" spans="1:17" ht="18" customHeight="1" x14ac:dyDescent="0.3">
      <c r="A48" s="10"/>
      <c r="C48" s="147">
        <v>32</v>
      </c>
      <c r="D48" s="146" t="s">
        <v>10</v>
      </c>
      <c r="E48" s="144"/>
      <c r="F48" s="144"/>
      <c r="G48" s="144"/>
      <c r="H48" s="144"/>
      <c r="I48" s="144"/>
      <c r="J48" s="144"/>
      <c r="K48" s="144"/>
      <c r="L48" s="144"/>
      <c r="M48" s="144"/>
      <c r="N48" s="144"/>
      <c r="O48" s="144"/>
      <c r="Q48" s="10"/>
    </row>
    <row r="49" spans="1:17" ht="18" customHeight="1" x14ac:dyDescent="0.3">
      <c r="A49" s="10"/>
      <c r="C49" s="145">
        <v>33</v>
      </c>
      <c r="D49" s="146" t="s">
        <v>11</v>
      </c>
      <c r="E49" s="144"/>
      <c r="F49" s="144"/>
      <c r="G49" s="144"/>
      <c r="H49" s="144"/>
      <c r="I49" s="144"/>
      <c r="J49" s="144"/>
      <c r="K49" s="144"/>
      <c r="L49" s="144"/>
      <c r="M49" s="144"/>
      <c r="N49" s="144"/>
      <c r="O49" s="144"/>
      <c r="Q49" s="10"/>
    </row>
    <row r="50" spans="1:17" ht="18" customHeight="1" x14ac:dyDescent="0.3">
      <c r="A50" s="10"/>
      <c r="C50" s="147">
        <v>34</v>
      </c>
      <c r="D50" s="146" t="s">
        <v>12</v>
      </c>
      <c r="E50" s="144"/>
      <c r="F50" s="144"/>
      <c r="G50" s="144"/>
      <c r="H50" s="144"/>
      <c r="I50" s="144"/>
      <c r="J50" s="144"/>
      <c r="K50" s="144"/>
      <c r="L50" s="144"/>
      <c r="M50" s="144"/>
      <c r="N50" s="144"/>
      <c r="O50" s="144"/>
      <c r="Q50" s="10"/>
    </row>
    <row r="51" spans="1:17" ht="18" customHeight="1" x14ac:dyDescent="0.3">
      <c r="A51" s="10"/>
      <c r="C51" s="145">
        <v>35</v>
      </c>
      <c r="D51" s="146" t="s">
        <v>13</v>
      </c>
      <c r="E51" s="144"/>
      <c r="F51" s="144"/>
      <c r="G51" s="144"/>
      <c r="H51" s="144"/>
      <c r="I51" s="144"/>
      <c r="J51" s="144"/>
      <c r="K51" s="144"/>
      <c r="L51" s="144"/>
      <c r="M51" s="144"/>
      <c r="N51" s="144"/>
      <c r="O51" s="144"/>
      <c r="Q51" s="10"/>
    </row>
    <row r="52" spans="1:17" ht="18" customHeight="1" x14ac:dyDescent="0.3">
      <c r="A52" s="10"/>
      <c r="C52" s="147">
        <v>36</v>
      </c>
      <c r="D52" s="146" t="s">
        <v>15</v>
      </c>
      <c r="E52" s="144"/>
      <c r="F52" s="144"/>
      <c r="G52" s="144"/>
      <c r="H52" s="144"/>
      <c r="I52" s="144"/>
      <c r="J52" s="144"/>
      <c r="K52" s="144"/>
      <c r="L52" s="144"/>
      <c r="M52" s="144"/>
      <c r="N52" s="144"/>
      <c r="O52" s="144"/>
      <c r="Q52" s="10"/>
    </row>
    <row r="53" spans="1:17" ht="18" customHeight="1" x14ac:dyDescent="0.3">
      <c r="A53" s="10"/>
      <c r="C53" s="145">
        <v>37</v>
      </c>
      <c r="D53" s="146" t="s">
        <v>14</v>
      </c>
      <c r="E53" s="144"/>
      <c r="F53" s="144"/>
      <c r="G53" s="144"/>
      <c r="H53" s="144"/>
      <c r="I53" s="144"/>
      <c r="J53" s="144"/>
      <c r="K53" s="144"/>
      <c r="L53" s="144"/>
      <c r="M53" s="144"/>
      <c r="N53" s="144"/>
      <c r="O53" s="144"/>
      <c r="Q53" s="10"/>
    </row>
    <row r="54" spans="1:17" ht="8.1" customHeight="1" x14ac:dyDescent="0.3">
      <c r="A54" s="10"/>
      <c r="C54" s="148"/>
      <c r="D54" s="149"/>
      <c r="E54" s="144"/>
      <c r="F54" s="144"/>
      <c r="G54" s="144"/>
      <c r="H54" s="144"/>
      <c r="I54" s="144"/>
      <c r="J54" s="144"/>
      <c r="K54" s="144"/>
      <c r="L54" s="144"/>
      <c r="M54" s="144"/>
      <c r="N54" s="144"/>
      <c r="O54" s="144"/>
      <c r="Q54" s="10"/>
    </row>
    <row r="55" spans="1:17" ht="8.1" customHeight="1" x14ac:dyDescent="0.3">
      <c r="A55" s="10"/>
      <c r="Q55" s="10"/>
    </row>
    <row r="56" spans="1:17" ht="8.1" customHeight="1" x14ac:dyDescent="0.3">
      <c r="A56" s="10"/>
      <c r="B56" s="10"/>
      <c r="C56" s="173"/>
      <c r="D56" s="10"/>
      <c r="E56" s="10"/>
      <c r="F56" s="10"/>
      <c r="G56" s="10"/>
      <c r="H56" s="10"/>
      <c r="I56" s="10"/>
      <c r="J56" s="10"/>
      <c r="K56" s="10"/>
      <c r="L56" s="10"/>
      <c r="M56" s="10"/>
      <c r="N56" s="10"/>
      <c r="O56" s="10"/>
      <c r="P56" s="10"/>
      <c r="Q56" s="10"/>
    </row>
  </sheetData>
  <sheetProtection algorithmName="SHA-512" hashValue="zuiMzEUVQxGCRA8TV1lyh66qDruuHnT3t4/YUD+XmOV5zyoYWkjFW6IrDvMF1I+bO0YBOH/LzHZ6ABpd07I7LA==" saltValue="HA0tIaZeok9tR0tThZAp3g==" spinCount="100000" sheet="1" objects="1" scenarios="1"/>
  <mergeCells count="1">
    <mergeCell ref="F10:N1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showGridLines="0" zoomScaleNormal="100" workbookViewId="0">
      <selection activeCell="B34" sqref="B34"/>
    </sheetView>
  </sheetViews>
  <sheetFormatPr defaultColWidth="26.36328125" defaultRowHeight="22.05" customHeight="1" x14ac:dyDescent="0.3"/>
  <cols>
    <col min="1" max="1" width="8.6328125" style="7" customWidth="1"/>
    <col min="2" max="2" width="3.6328125" style="7" customWidth="1"/>
    <col min="3" max="3" width="21.26953125" style="7" customWidth="1"/>
    <col min="4" max="4" width="36.26953125" style="7" customWidth="1"/>
    <col min="5" max="5" width="29.26953125" style="7" customWidth="1"/>
    <col min="6" max="6" width="3.6328125" style="7" customWidth="1"/>
    <col min="7" max="7" width="8.6328125" style="7" customWidth="1"/>
    <col min="8" max="16384" width="26.36328125" style="7"/>
  </cols>
  <sheetData>
    <row r="1" spans="1:7" ht="8.1" customHeight="1" x14ac:dyDescent="0.3">
      <c r="A1" s="10"/>
      <c r="B1" s="10"/>
      <c r="C1" s="10"/>
      <c r="D1" s="10"/>
      <c r="E1" s="10"/>
      <c r="F1" s="10"/>
      <c r="G1" s="10"/>
    </row>
    <row r="2" spans="1:7" ht="31" customHeight="1" x14ac:dyDescent="0.35">
      <c r="A2" s="10"/>
      <c r="C2" s="47" t="s">
        <v>381</v>
      </c>
      <c r="D2" s="115"/>
      <c r="E2" s="115"/>
      <c r="F2" s="154"/>
      <c r="G2" s="10"/>
    </row>
    <row r="3" spans="1:7" ht="15" customHeight="1" x14ac:dyDescent="0.3">
      <c r="A3" s="10"/>
      <c r="C3" s="115" t="s">
        <v>413</v>
      </c>
      <c r="D3" s="115"/>
      <c r="E3" s="115"/>
      <c r="F3" s="154"/>
      <c r="G3" s="10"/>
    </row>
    <row r="4" spans="1:7" ht="15" customHeight="1" x14ac:dyDescent="0.3">
      <c r="A4" s="10"/>
      <c r="C4" s="115" t="s">
        <v>313</v>
      </c>
      <c r="D4" s="115"/>
      <c r="E4" s="115"/>
      <c r="F4" s="154"/>
      <c r="G4" s="10"/>
    </row>
    <row r="5" spans="1:7" ht="22.05" customHeight="1" x14ac:dyDescent="0.3">
      <c r="A5" s="10"/>
      <c r="C5" s="155"/>
      <c r="G5" s="10"/>
    </row>
    <row r="6" spans="1:7" s="156" customFormat="1" ht="37.049999999999997" customHeight="1" thickBot="1" x14ac:dyDescent="0.4">
      <c r="A6" s="36"/>
      <c r="C6" s="25" t="s">
        <v>382</v>
      </c>
      <c r="D6" s="107" t="s">
        <v>398</v>
      </c>
      <c r="E6" s="107" t="s">
        <v>397</v>
      </c>
      <c r="G6" s="36"/>
    </row>
    <row r="7" spans="1:7" s="157" customFormat="1" ht="22.05" customHeight="1" thickTop="1" x14ac:dyDescent="0.35">
      <c r="A7" s="11"/>
      <c r="C7" s="8" t="s">
        <v>147</v>
      </c>
      <c r="D7" s="9" t="s">
        <v>148</v>
      </c>
      <c r="E7" s="9">
        <v>0</v>
      </c>
      <c r="G7" s="11"/>
    </row>
    <row r="8" spans="1:7" s="157" customFormat="1" ht="22.05" customHeight="1" x14ac:dyDescent="0.35">
      <c r="A8" s="11"/>
      <c r="C8" s="8" t="s">
        <v>149</v>
      </c>
      <c r="D8" s="9" t="s">
        <v>150</v>
      </c>
      <c r="E8" s="9">
        <v>0</v>
      </c>
      <c r="G8" s="11"/>
    </row>
    <row r="9" spans="1:7" s="157" customFormat="1" ht="22.05" customHeight="1" x14ac:dyDescent="0.35">
      <c r="A9" s="11"/>
      <c r="C9" s="8" t="s">
        <v>151</v>
      </c>
      <c r="D9" s="9" t="s">
        <v>152</v>
      </c>
      <c r="E9" s="9">
        <v>7.45</v>
      </c>
      <c r="G9" s="11"/>
    </row>
    <row r="10" spans="1:7" s="157" customFormat="1" ht="22.05" customHeight="1" x14ac:dyDescent="0.35">
      <c r="A10" s="11"/>
      <c r="C10" s="8" t="s">
        <v>153</v>
      </c>
      <c r="D10" s="9" t="s">
        <v>154</v>
      </c>
      <c r="E10" s="9">
        <v>25.6</v>
      </c>
      <c r="G10" s="11"/>
    </row>
    <row r="11" spans="1:7" ht="22.05" customHeight="1" x14ac:dyDescent="0.3">
      <c r="A11" s="10"/>
      <c r="G11" s="10"/>
    </row>
    <row r="12" spans="1:7" ht="8.1" customHeight="1" x14ac:dyDescent="0.3">
      <c r="A12" s="10"/>
      <c r="B12" s="10"/>
      <c r="C12" s="10"/>
      <c r="D12" s="10"/>
      <c r="E12" s="10"/>
      <c r="F12" s="10"/>
      <c r="G12" s="10"/>
    </row>
  </sheetData>
  <sheetProtection algorithmName="SHA-512" hashValue="r4/5xmG72j0SISin2eGI5vDD3wuoGeDU0xAW1SQBpQse9Enpiy3foINnksIOxXdb9l+GgWNn0O/mBESHHXd+2A==" saltValue="X02iDhyTD83/ZbeKPR4stw==" spinCount="100000" sheet="1" objects="1"/>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2"/>
  <sheetViews>
    <sheetView showGridLines="0" zoomScaleNormal="100" workbookViewId="0">
      <selection activeCell="U31" sqref="U31"/>
    </sheetView>
  </sheetViews>
  <sheetFormatPr defaultColWidth="10.81640625" defaultRowHeight="19.05" customHeight="1" x14ac:dyDescent="0.3"/>
  <cols>
    <col min="1" max="1" width="8.6328125" style="7" customWidth="1"/>
    <col min="2" max="2" width="3.6328125" style="7" customWidth="1"/>
    <col min="3" max="3" width="23.6328125" style="7" customWidth="1"/>
    <col min="4" max="9" width="10.81640625" style="7"/>
    <col min="10" max="10" width="3.6328125" style="7" customWidth="1"/>
    <col min="11" max="11" width="8.6328125" style="7" customWidth="1"/>
    <col min="12" max="16384" width="10.81640625" style="7"/>
  </cols>
  <sheetData>
    <row r="1" spans="1:11" ht="8.1" customHeight="1" x14ac:dyDescent="0.3">
      <c r="A1" s="10"/>
      <c r="B1" s="10"/>
      <c r="C1" s="10"/>
      <c r="D1" s="10"/>
      <c r="E1" s="10"/>
      <c r="F1" s="10"/>
      <c r="G1" s="10"/>
      <c r="H1" s="10"/>
      <c r="I1" s="10"/>
      <c r="J1" s="10"/>
      <c r="K1" s="10"/>
    </row>
    <row r="2" spans="1:11" ht="31" customHeight="1" x14ac:dyDescent="0.35">
      <c r="A2" s="10"/>
      <c r="C2" s="47" t="s">
        <v>60</v>
      </c>
      <c r="D2" s="115"/>
      <c r="E2" s="115"/>
      <c r="K2" s="10"/>
    </row>
    <row r="3" spans="1:11" ht="18" customHeight="1" x14ac:dyDescent="0.3">
      <c r="A3" s="10"/>
      <c r="C3" s="115" t="s">
        <v>303</v>
      </c>
      <c r="D3" s="115"/>
      <c r="E3" s="115"/>
      <c r="K3" s="10"/>
    </row>
    <row r="4" spans="1:11" ht="18" customHeight="1" x14ac:dyDescent="0.3">
      <c r="A4" s="10"/>
      <c r="C4" s="115" t="s">
        <v>321</v>
      </c>
      <c r="D4" s="115"/>
      <c r="E4" s="115"/>
      <c r="K4" s="10"/>
    </row>
    <row r="5" spans="1:11" ht="21.05" customHeight="1" x14ac:dyDescent="0.3">
      <c r="A5" s="10"/>
      <c r="K5" s="10"/>
    </row>
    <row r="6" spans="1:11" ht="21.05" customHeight="1" x14ac:dyDescent="0.35">
      <c r="A6" s="10"/>
      <c r="C6" s="209" t="s">
        <v>229</v>
      </c>
      <c r="D6" s="207" t="s">
        <v>231</v>
      </c>
      <c r="E6" s="207"/>
      <c r="F6" s="207"/>
      <c r="G6" s="207" t="s">
        <v>230</v>
      </c>
      <c r="H6" s="208"/>
      <c r="I6" s="208"/>
      <c r="K6" s="10"/>
    </row>
    <row r="7" spans="1:11" ht="21.05" customHeight="1" thickBot="1" x14ac:dyDescent="0.35">
      <c r="A7" s="10"/>
      <c r="C7" s="210"/>
      <c r="D7" s="116" t="s">
        <v>281</v>
      </c>
      <c r="E7" s="116" t="s">
        <v>322</v>
      </c>
      <c r="F7" s="116" t="s">
        <v>323</v>
      </c>
      <c r="G7" s="116" t="s">
        <v>281</v>
      </c>
      <c r="H7" s="116" t="s">
        <v>322</v>
      </c>
      <c r="I7" s="116" t="s">
        <v>323</v>
      </c>
      <c r="K7" s="10"/>
    </row>
    <row r="8" spans="1:11" ht="21.05" customHeight="1" thickTop="1" x14ac:dyDescent="0.3">
      <c r="A8" s="10"/>
      <c r="C8" s="19" t="s">
        <v>155</v>
      </c>
      <c r="D8" s="21" t="s">
        <v>232</v>
      </c>
      <c r="E8" s="21" t="s">
        <v>233</v>
      </c>
      <c r="F8" s="21" t="s">
        <v>234</v>
      </c>
      <c r="G8" s="19">
        <v>7</v>
      </c>
      <c r="H8" s="19">
        <v>12</v>
      </c>
      <c r="I8" s="19">
        <v>15</v>
      </c>
      <c r="K8" s="10"/>
    </row>
    <row r="9" spans="1:11" ht="21.05" customHeight="1" x14ac:dyDescent="0.3">
      <c r="A9" s="10"/>
      <c r="C9" s="13" t="s">
        <v>28</v>
      </c>
      <c r="D9" s="20" t="s">
        <v>235</v>
      </c>
      <c r="E9" s="20" t="s">
        <v>236</v>
      </c>
      <c r="F9" s="20" t="s">
        <v>237</v>
      </c>
      <c r="G9" s="13">
        <v>4</v>
      </c>
      <c r="H9" s="13">
        <v>9</v>
      </c>
      <c r="I9" s="13">
        <v>17</v>
      </c>
      <c r="K9" s="10"/>
    </row>
    <row r="10" spans="1:11" ht="21.05" customHeight="1" x14ac:dyDescent="0.3">
      <c r="A10" s="10"/>
      <c r="C10" s="13" t="s">
        <v>29</v>
      </c>
      <c r="D10" s="20" t="s">
        <v>233</v>
      </c>
      <c r="E10" s="20" t="s">
        <v>234</v>
      </c>
      <c r="F10" s="20" t="s">
        <v>238</v>
      </c>
      <c r="G10" s="13">
        <v>3</v>
      </c>
      <c r="H10" s="13">
        <v>12</v>
      </c>
      <c r="I10" s="13">
        <v>18</v>
      </c>
      <c r="K10" s="10"/>
    </row>
    <row r="11" spans="1:11" ht="21.05" customHeight="1" x14ac:dyDescent="0.3">
      <c r="A11" s="10"/>
      <c r="C11" s="13" t="s">
        <v>30</v>
      </c>
      <c r="D11" s="20" t="s">
        <v>238</v>
      </c>
      <c r="E11" s="20" t="s">
        <v>235</v>
      </c>
      <c r="F11" s="20" t="s">
        <v>236</v>
      </c>
      <c r="G11" s="13">
        <v>2</v>
      </c>
      <c r="H11" s="13">
        <v>5</v>
      </c>
      <c r="I11" s="13">
        <v>15</v>
      </c>
      <c r="K11" s="10"/>
    </row>
    <row r="12" spans="1:11" ht="21.05" customHeight="1" x14ac:dyDescent="0.3">
      <c r="A12" s="10"/>
      <c r="C12" s="13" t="s">
        <v>31</v>
      </c>
      <c r="D12" s="20" t="s">
        <v>320</v>
      </c>
      <c r="E12" s="20" t="s">
        <v>320</v>
      </c>
      <c r="F12" s="20" t="s">
        <v>320</v>
      </c>
      <c r="G12" s="13">
        <v>0</v>
      </c>
      <c r="H12" s="13">
        <v>0</v>
      </c>
      <c r="I12" s="13">
        <v>0</v>
      </c>
      <c r="K12" s="10"/>
    </row>
    <row r="13" spans="1:11" ht="21.05" customHeight="1" x14ac:dyDescent="0.3">
      <c r="A13" s="10"/>
      <c r="C13" s="13" t="s">
        <v>32</v>
      </c>
      <c r="D13" s="20" t="s">
        <v>236</v>
      </c>
      <c r="E13" s="20" t="s">
        <v>237</v>
      </c>
      <c r="F13" s="20" t="s">
        <v>165</v>
      </c>
      <c r="G13" s="13">
        <v>5</v>
      </c>
      <c r="H13" s="13">
        <v>6</v>
      </c>
      <c r="I13" s="13">
        <v>6</v>
      </c>
      <c r="K13" s="10"/>
    </row>
    <row r="14" spans="1:11" ht="21.05" customHeight="1" x14ac:dyDescent="0.3">
      <c r="A14" s="10"/>
      <c r="C14" s="13" t="s">
        <v>239</v>
      </c>
      <c r="D14" s="20" t="s">
        <v>237</v>
      </c>
      <c r="E14" s="20" t="s">
        <v>165</v>
      </c>
      <c r="F14" s="20" t="s">
        <v>240</v>
      </c>
      <c r="G14" s="13">
        <v>10</v>
      </c>
      <c r="H14" s="13">
        <v>11</v>
      </c>
      <c r="I14" s="13">
        <v>11</v>
      </c>
      <c r="K14" s="10"/>
    </row>
    <row r="15" spans="1:11" ht="21.05" customHeight="1" x14ac:dyDescent="0.3">
      <c r="A15" s="10"/>
      <c r="C15" s="13" t="s">
        <v>34</v>
      </c>
      <c r="D15" s="20" t="s">
        <v>242</v>
      </c>
      <c r="E15" s="20" t="s">
        <v>232</v>
      </c>
      <c r="F15" s="20" t="s">
        <v>232</v>
      </c>
      <c r="G15" s="13">
        <v>1</v>
      </c>
      <c r="H15" s="13">
        <v>5</v>
      </c>
      <c r="I15" s="13">
        <v>5</v>
      </c>
      <c r="K15" s="10"/>
    </row>
    <row r="16" spans="1:11" ht="21.05" customHeight="1" x14ac:dyDescent="0.3">
      <c r="A16" s="10"/>
      <c r="C16" s="13" t="s">
        <v>204</v>
      </c>
      <c r="D16" s="20" t="s">
        <v>320</v>
      </c>
      <c r="E16" s="20" t="s">
        <v>320</v>
      </c>
      <c r="F16" s="20" t="s">
        <v>320</v>
      </c>
      <c r="G16" s="13">
        <v>0</v>
      </c>
      <c r="H16" s="13">
        <v>0</v>
      </c>
      <c r="I16" s="13">
        <v>0</v>
      </c>
      <c r="K16" s="10"/>
    </row>
    <row r="17" spans="1:11" ht="21.05" customHeight="1" x14ac:dyDescent="0.3">
      <c r="A17" s="10"/>
      <c r="C17" s="13" t="s">
        <v>243</v>
      </c>
      <c r="D17" s="20" t="s">
        <v>236</v>
      </c>
      <c r="E17" s="20" t="s">
        <v>237</v>
      </c>
      <c r="F17" s="20" t="s">
        <v>165</v>
      </c>
      <c r="G17" s="13">
        <v>1</v>
      </c>
      <c r="H17" s="13">
        <v>5</v>
      </c>
      <c r="I17" s="13">
        <v>11</v>
      </c>
      <c r="K17" s="10"/>
    </row>
    <row r="18" spans="1:11" ht="21.05" customHeight="1" x14ac:dyDescent="0.3">
      <c r="A18" s="10"/>
      <c r="C18" s="13" t="s">
        <v>208</v>
      </c>
      <c r="D18" s="20" t="s">
        <v>241</v>
      </c>
      <c r="E18" s="20" t="s">
        <v>242</v>
      </c>
      <c r="F18" s="20" t="s">
        <v>232</v>
      </c>
      <c r="G18" s="13">
        <v>1</v>
      </c>
      <c r="H18" s="13">
        <v>5</v>
      </c>
      <c r="I18" s="13">
        <v>5</v>
      </c>
      <c r="K18" s="10"/>
    </row>
    <row r="19" spans="1:11" ht="20.75" customHeight="1" x14ac:dyDescent="0.3">
      <c r="A19" s="10"/>
      <c r="C19" s="13" t="s">
        <v>209</v>
      </c>
      <c r="D19" s="20" t="s">
        <v>320</v>
      </c>
      <c r="E19" s="20" t="s">
        <v>320</v>
      </c>
      <c r="F19" s="20" t="s">
        <v>320</v>
      </c>
      <c r="G19" s="13">
        <v>0</v>
      </c>
      <c r="H19" s="13">
        <v>0</v>
      </c>
      <c r="I19" s="13">
        <v>0</v>
      </c>
      <c r="K19" s="10"/>
    </row>
    <row r="20" spans="1:11" ht="21.05" customHeight="1" x14ac:dyDescent="0.3">
      <c r="A20" s="10"/>
      <c r="C20" s="13" t="s">
        <v>210</v>
      </c>
      <c r="D20" s="20" t="s">
        <v>244</v>
      </c>
      <c r="E20" s="20" t="s">
        <v>237</v>
      </c>
      <c r="F20" s="20" t="s">
        <v>165</v>
      </c>
      <c r="G20" s="13">
        <v>3</v>
      </c>
      <c r="H20" s="13">
        <v>6</v>
      </c>
      <c r="I20" s="13">
        <v>6</v>
      </c>
      <c r="K20" s="10"/>
    </row>
    <row r="21" spans="1:11" ht="21.05" customHeight="1" x14ac:dyDescent="0.3">
      <c r="A21" s="10"/>
      <c r="K21" s="10"/>
    </row>
    <row r="22" spans="1:11" ht="8.1" customHeight="1" x14ac:dyDescent="0.3">
      <c r="A22" s="10"/>
      <c r="B22" s="10"/>
      <c r="C22" s="10"/>
      <c r="D22" s="10"/>
      <c r="E22" s="10"/>
      <c r="F22" s="10"/>
      <c r="G22" s="10"/>
      <c r="H22" s="10"/>
      <c r="I22" s="10"/>
      <c r="J22" s="10"/>
      <c r="K22" s="10"/>
    </row>
  </sheetData>
  <sheetProtection algorithmName="SHA-512" hashValue="iqO9d8B7iwSfuD8t2OuxyftIYsSixobtOK6HoFxVtFPaZPMpP50a8osldtHqbuXyWcIjLtd01HNbuYjMqaMYmw==" saltValue="ISTS6Qu2PhEndiUC8NKStg==" spinCount="100000" sheet="1" objects="1" scenarios="1"/>
  <mergeCells count="3">
    <mergeCell ref="G6:I6"/>
    <mergeCell ref="C6:C7"/>
    <mergeCell ref="D6: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2AE7-DB8B-482F-8036-BDD642D51FFF}">
  <dimension ref="A1:M34"/>
  <sheetViews>
    <sheetView showGridLines="0" workbookViewId="0">
      <selection activeCell="T49" sqref="T49"/>
    </sheetView>
  </sheetViews>
  <sheetFormatPr defaultRowHeight="16.149999999999999" x14ac:dyDescent="0.35"/>
  <cols>
    <col min="1" max="1" width="8.6328125" customWidth="1"/>
    <col min="2" max="2" width="3.6328125" customWidth="1"/>
    <col min="3" max="3" width="15.453125" customWidth="1"/>
    <col min="8" max="8" width="3.6328125" customWidth="1"/>
    <col min="9" max="9" width="33.26953125" customWidth="1"/>
    <col min="10" max="10" width="14.26953125" customWidth="1"/>
    <col min="11" max="11" width="34.1796875" bestFit="1" customWidth="1"/>
    <col min="12" max="12" width="3.6328125" customWidth="1"/>
    <col min="13" max="13" width="8.6328125" customWidth="1"/>
  </cols>
  <sheetData>
    <row r="1" spans="1:13" s="7" customFormat="1" ht="8.1" customHeight="1" x14ac:dyDescent="0.3">
      <c r="A1" s="10"/>
      <c r="B1" s="10"/>
      <c r="C1" s="10"/>
      <c r="D1" s="10"/>
      <c r="E1" s="10"/>
      <c r="F1" s="10"/>
      <c r="G1" s="10"/>
      <c r="H1" s="10"/>
      <c r="I1" s="10"/>
      <c r="J1" s="10"/>
      <c r="K1" s="10"/>
      <c r="L1" s="10"/>
      <c r="M1" s="10"/>
    </row>
    <row r="2" spans="1:13" s="7" customFormat="1" ht="31" customHeight="1" x14ac:dyDescent="0.35">
      <c r="A2" s="10"/>
      <c r="C2" s="47" t="s">
        <v>448</v>
      </c>
      <c r="D2" s="115"/>
      <c r="E2" s="115"/>
      <c r="I2" s="47" t="s">
        <v>473</v>
      </c>
      <c r="M2" s="10"/>
    </row>
    <row r="3" spans="1:13" s="7" customFormat="1" ht="7.05" customHeight="1" x14ac:dyDescent="0.3">
      <c r="A3" s="10"/>
      <c r="M3" s="10"/>
    </row>
    <row r="4" spans="1:13" ht="27.1" customHeight="1" thickBot="1" x14ac:dyDescent="0.4">
      <c r="A4" s="57"/>
      <c r="C4" s="211" t="s">
        <v>443</v>
      </c>
      <c r="D4" s="213" t="s">
        <v>230</v>
      </c>
      <c r="E4" s="213"/>
      <c r="F4" s="213"/>
      <c r="G4" s="213"/>
      <c r="I4" s="178" t="s">
        <v>472</v>
      </c>
      <c r="J4" s="179" t="s">
        <v>230</v>
      </c>
      <c r="K4" s="178" t="s">
        <v>77</v>
      </c>
      <c r="M4" s="57"/>
    </row>
    <row r="5" spans="1:13" ht="22.05" customHeight="1" thickTop="1" thickBot="1" x14ac:dyDescent="0.4">
      <c r="A5" s="57"/>
      <c r="C5" s="212"/>
      <c r="D5" s="175" t="s">
        <v>444</v>
      </c>
      <c r="E5" s="175" t="s">
        <v>445</v>
      </c>
      <c r="F5" s="175" t="s">
        <v>446</v>
      </c>
      <c r="G5" s="175" t="s">
        <v>447</v>
      </c>
      <c r="I5" s="176" t="s">
        <v>449</v>
      </c>
      <c r="J5" s="176">
        <v>11</v>
      </c>
      <c r="K5" s="176"/>
      <c r="M5" s="57"/>
    </row>
    <row r="6" spans="1:13" ht="22.05" customHeight="1" thickTop="1" x14ac:dyDescent="0.35">
      <c r="A6" s="57"/>
      <c r="C6" s="176" t="s">
        <v>155</v>
      </c>
      <c r="D6" s="176">
        <v>11</v>
      </c>
      <c r="E6" s="176">
        <v>11</v>
      </c>
      <c r="F6" s="176">
        <v>15</v>
      </c>
      <c r="G6" s="176">
        <v>15</v>
      </c>
      <c r="I6" s="167" t="s">
        <v>450</v>
      </c>
      <c r="J6" s="167">
        <v>6</v>
      </c>
      <c r="K6" s="167"/>
      <c r="M6" s="57"/>
    </row>
    <row r="7" spans="1:13" ht="22.05" customHeight="1" x14ac:dyDescent="0.35">
      <c r="A7" s="57"/>
      <c r="C7" s="167" t="s">
        <v>28</v>
      </c>
      <c r="D7" s="167">
        <v>11</v>
      </c>
      <c r="E7" s="167">
        <v>11</v>
      </c>
      <c r="F7" s="167">
        <v>11</v>
      </c>
      <c r="G7" s="167">
        <v>11</v>
      </c>
      <c r="I7" s="167" t="s">
        <v>451</v>
      </c>
      <c r="J7" s="167">
        <v>11</v>
      </c>
      <c r="K7" s="167"/>
      <c r="M7" s="57"/>
    </row>
    <row r="8" spans="1:13" ht="22.05" customHeight="1" x14ac:dyDescent="0.35">
      <c r="A8" s="57"/>
      <c r="C8" s="167" t="s">
        <v>29</v>
      </c>
      <c r="D8" s="167">
        <v>11</v>
      </c>
      <c r="E8" s="167">
        <v>11</v>
      </c>
      <c r="F8" s="167">
        <v>11</v>
      </c>
      <c r="G8" s="167">
        <v>11</v>
      </c>
      <c r="I8" s="167" t="s">
        <v>452</v>
      </c>
      <c r="J8" s="167">
        <v>6</v>
      </c>
      <c r="K8" s="167"/>
      <c r="M8" s="57"/>
    </row>
    <row r="9" spans="1:13" ht="22.05" customHeight="1" x14ac:dyDescent="0.35">
      <c r="A9" s="57"/>
      <c r="C9" s="167" t="s">
        <v>30</v>
      </c>
      <c r="D9" s="167">
        <v>11</v>
      </c>
      <c r="E9" s="167">
        <v>11</v>
      </c>
      <c r="F9" s="167">
        <v>11</v>
      </c>
      <c r="G9" s="167">
        <v>11</v>
      </c>
      <c r="I9" s="167" t="s">
        <v>453</v>
      </c>
      <c r="J9" s="167">
        <v>11</v>
      </c>
      <c r="K9" s="167"/>
      <c r="M9" s="57"/>
    </row>
    <row r="10" spans="1:13" ht="22.05" customHeight="1" x14ac:dyDescent="0.35">
      <c r="A10" s="57"/>
      <c r="C10" s="167" t="s">
        <v>31</v>
      </c>
      <c r="D10" s="167">
        <v>0</v>
      </c>
      <c r="E10" s="167">
        <v>0</v>
      </c>
      <c r="F10" s="167">
        <v>0</v>
      </c>
      <c r="G10" s="167">
        <v>0</v>
      </c>
      <c r="I10" s="167" t="s">
        <v>454</v>
      </c>
      <c r="J10" s="167">
        <v>6</v>
      </c>
      <c r="K10" s="167"/>
      <c r="M10" s="57"/>
    </row>
    <row r="11" spans="1:13" ht="22.05" customHeight="1" x14ac:dyDescent="0.35">
      <c r="A11" s="57"/>
      <c r="C11" s="167" t="s">
        <v>32</v>
      </c>
      <c r="D11" s="167">
        <v>0</v>
      </c>
      <c r="E11" s="167">
        <v>0</v>
      </c>
      <c r="F11" s="167">
        <v>0</v>
      </c>
      <c r="G11" s="167">
        <v>0</v>
      </c>
      <c r="I11" s="167" t="s">
        <v>457</v>
      </c>
      <c r="J11" s="167">
        <v>11</v>
      </c>
      <c r="K11" s="167"/>
      <c r="M11" s="57"/>
    </row>
    <row r="12" spans="1:13" ht="22.05" customHeight="1" x14ac:dyDescent="0.35">
      <c r="A12" s="57"/>
      <c r="C12" s="167" t="s">
        <v>210</v>
      </c>
      <c r="D12" s="167">
        <v>11</v>
      </c>
      <c r="E12" s="167">
        <v>11</v>
      </c>
      <c r="F12" s="167">
        <v>11</v>
      </c>
      <c r="G12" s="167">
        <v>11</v>
      </c>
      <c r="I12" s="167" t="s">
        <v>458</v>
      </c>
      <c r="J12" s="167">
        <v>6</v>
      </c>
      <c r="K12" s="167"/>
      <c r="M12" s="57"/>
    </row>
    <row r="13" spans="1:13" ht="34.6" customHeight="1" x14ac:dyDescent="0.35">
      <c r="A13" s="57"/>
      <c r="C13" s="214" t="s">
        <v>479</v>
      </c>
      <c r="D13" s="214"/>
      <c r="E13" s="214"/>
      <c r="F13" s="214"/>
      <c r="G13" s="214"/>
      <c r="I13" s="167" t="s">
        <v>477</v>
      </c>
      <c r="J13" s="167" t="s">
        <v>455</v>
      </c>
      <c r="K13" s="167" t="s">
        <v>456</v>
      </c>
      <c r="M13" s="57"/>
    </row>
    <row r="14" spans="1:13" ht="34.6" customHeight="1" x14ac:dyDescent="0.35">
      <c r="A14" s="57"/>
      <c r="C14" s="215"/>
      <c r="D14" s="215"/>
      <c r="E14" s="215"/>
      <c r="F14" s="215"/>
      <c r="G14" s="215"/>
      <c r="I14" s="167" t="s">
        <v>478</v>
      </c>
      <c r="J14" s="167" t="s">
        <v>455</v>
      </c>
      <c r="K14" s="167" t="s">
        <v>456</v>
      </c>
      <c r="M14" s="57"/>
    </row>
    <row r="15" spans="1:13" ht="28.8" customHeight="1" x14ac:dyDescent="0.35">
      <c r="A15" s="57"/>
      <c r="C15" s="177"/>
      <c r="D15" s="177"/>
      <c r="E15" s="177"/>
      <c r="F15" s="177"/>
      <c r="G15" s="177"/>
      <c r="I15" s="167" t="s">
        <v>459</v>
      </c>
      <c r="J15" s="167" t="s">
        <v>455</v>
      </c>
      <c r="K15" s="167" t="s">
        <v>456</v>
      </c>
      <c r="M15" s="57"/>
    </row>
    <row r="16" spans="1:13" ht="34.6" customHeight="1" x14ac:dyDescent="0.35">
      <c r="A16" s="57"/>
      <c r="C16" s="177"/>
      <c r="D16" s="177"/>
      <c r="E16" s="177"/>
      <c r="F16" s="177"/>
      <c r="G16" s="177"/>
      <c r="I16" s="167" t="s">
        <v>476</v>
      </c>
      <c r="J16" s="167" t="s">
        <v>455</v>
      </c>
      <c r="K16" s="167" t="s">
        <v>456</v>
      </c>
      <c r="M16" s="57"/>
    </row>
    <row r="17" spans="1:13" ht="22.05" customHeight="1" x14ac:dyDescent="0.35">
      <c r="A17" s="57"/>
      <c r="C17" s="177"/>
      <c r="D17" s="177"/>
      <c r="E17" s="177"/>
      <c r="F17" s="177"/>
      <c r="G17" s="177"/>
      <c r="I17" s="167" t="s">
        <v>460</v>
      </c>
      <c r="J17" s="167" t="s">
        <v>455</v>
      </c>
      <c r="K17" s="167" t="s">
        <v>456</v>
      </c>
      <c r="M17" s="57"/>
    </row>
    <row r="18" spans="1:13" ht="22.05" customHeight="1" x14ac:dyDescent="0.35">
      <c r="A18" s="57"/>
      <c r="C18" s="177"/>
      <c r="D18" s="177"/>
      <c r="E18" s="177"/>
      <c r="F18" s="177"/>
      <c r="G18" s="177"/>
      <c r="I18" s="167" t="s">
        <v>461</v>
      </c>
      <c r="J18" s="167">
        <v>5</v>
      </c>
      <c r="K18" s="167"/>
      <c r="M18" s="57"/>
    </row>
    <row r="19" spans="1:13" ht="22.05" customHeight="1" x14ac:dyDescent="0.35">
      <c r="A19" s="57"/>
      <c r="I19" s="167" t="s">
        <v>462</v>
      </c>
      <c r="J19" s="167" t="s">
        <v>455</v>
      </c>
      <c r="K19" s="167" t="s">
        <v>456</v>
      </c>
      <c r="M19" s="57"/>
    </row>
    <row r="20" spans="1:13" ht="22.05" customHeight="1" x14ac:dyDescent="0.35">
      <c r="A20" s="57"/>
      <c r="I20" s="167" t="s">
        <v>463</v>
      </c>
      <c r="J20" s="167" t="s">
        <v>455</v>
      </c>
      <c r="K20" s="167" t="s">
        <v>456</v>
      </c>
      <c r="M20" s="57"/>
    </row>
    <row r="21" spans="1:13" ht="22.05" customHeight="1" x14ac:dyDescent="0.35">
      <c r="A21" s="57"/>
      <c r="I21" s="167" t="s">
        <v>464</v>
      </c>
      <c r="J21" s="167" t="s">
        <v>455</v>
      </c>
      <c r="K21" s="167" t="s">
        <v>456</v>
      </c>
      <c r="M21" s="57"/>
    </row>
    <row r="22" spans="1:13" ht="22.05" customHeight="1" x14ac:dyDescent="0.35">
      <c r="A22" s="57"/>
      <c r="I22" s="167" t="s">
        <v>465</v>
      </c>
      <c r="J22" s="167" t="s">
        <v>455</v>
      </c>
      <c r="K22" s="167" t="s">
        <v>456</v>
      </c>
      <c r="M22" s="57"/>
    </row>
    <row r="23" spans="1:13" ht="22.05" customHeight="1" x14ac:dyDescent="0.35">
      <c r="A23" s="57"/>
      <c r="I23" s="167" t="s">
        <v>466</v>
      </c>
      <c r="J23" s="167" t="s">
        <v>455</v>
      </c>
      <c r="K23" s="167" t="s">
        <v>456</v>
      </c>
      <c r="M23" s="57"/>
    </row>
    <row r="24" spans="1:13" ht="22.05" customHeight="1" x14ac:dyDescent="0.35">
      <c r="A24" s="57"/>
      <c r="I24" s="167" t="s">
        <v>467</v>
      </c>
      <c r="J24" s="167" t="s">
        <v>455</v>
      </c>
      <c r="K24" s="167" t="s">
        <v>456</v>
      </c>
      <c r="M24" s="57"/>
    </row>
    <row r="25" spans="1:13" ht="22.05" customHeight="1" x14ac:dyDescent="0.35">
      <c r="A25" s="57"/>
      <c r="I25" s="167" t="s">
        <v>468</v>
      </c>
      <c r="J25" s="167" t="s">
        <v>455</v>
      </c>
      <c r="K25" s="167" t="s">
        <v>456</v>
      </c>
      <c r="M25" s="57"/>
    </row>
    <row r="26" spans="1:13" ht="22.05" customHeight="1" x14ac:dyDescent="0.35">
      <c r="A26" s="57"/>
      <c r="I26" s="167" t="s">
        <v>468</v>
      </c>
      <c r="J26" s="167" t="s">
        <v>455</v>
      </c>
      <c r="K26" s="167" t="s">
        <v>456</v>
      </c>
      <c r="M26" s="57"/>
    </row>
    <row r="27" spans="1:13" ht="22.05" customHeight="1" x14ac:dyDescent="0.35">
      <c r="A27" s="57"/>
      <c r="I27" s="167" t="s">
        <v>469</v>
      </c>
      <c r="J27" s="167" t="s">
        <v>455</v>
      </c>
      <c r="K27" s="167" t="s">
        <v>456</v>
      </c>
      <c r="M27" s="57"/>
    </row>
    <row r="28" spans="1:13" ht="22.05" customHeight="1" x14ac:dyDescent="0.35">
      <c r="A28" s="57"/>
      <c r="I28" s="167" t="s">
        <v>470</v>
      </c>
      <c r="J28" s="167" t="s">
        <v>455</v>
      </c>
      <c r="K28" s="167" t="s">
        <v>456</v>
      </c>
      <c r="M28" s="57"/>
    </row>
    <row r="29" spans="1:13" ht="22.05" customHeight="1" x14ac:dyDescent="0.35">
      <c r="A29" s="57"/>
      <c r="I29" s="167" t="s">
        <v>470</v>
      </c>
      <c r="J29" s="167" t="s">
        <v>455</v>
      </c>
      <c r="K29" s="167" t="s">
        <v>456</v>
      </c>
      <c r="M29" s="57"/>
    </row>
    <row r="30" spans="1:13" ht="34.6" customHeight="1" x14ac:dyDescent="0.35">
      <c r="A30" s="57"/>
      <c r="I30" s="167" t="s">
        <v>474</v>
      </c>
      <c r="J30" s="167" t="s">
        <v>455</v>
      </c>
      <c r="K30" s="167" t="s">
        <v>456</v>
      </c>
      <c r="M30" s="57"/>
    </row>
    <row r="31" spans="1:13" ht="34.6" customHeight="1" x14ac:dyDescent="0.35">
      <c r="A31" s="57"/>
      <c r="I31" s="167" t="s">
        <v>475</v>
      </c>
      <c r="J31" s="167" t="s">
        <v>455</v>
      </c>
      <c r="K31" s="167" t="s">
        <v>456</v>
      </c>
      <c r="M31" s="57"/>
    </row>
    <row r="32" spans="1:13" ht="22.05" customHeight="1" x14ac:dyDescent="0.35">
      <c r="A32" s="57"/>
      <c r="I32" s="167" t="s">
        <v>471</v>
      </c>
      <c r="J32" s="167" t="s">
        <v>455</v>
      </c>
      <c r="K32" s="167" t="s">
        <v>456</v>
      </c>
      <c r="M32" s="57"/>
    </row>
    <row r="33" spans="1:13" x14ac:dyDescent="0.35">
      <c r="A33" s="57"/>
      <c r="M33" s="57"/>
    </row>
    <row r="34" spans="1:13" ht="8.1" customHeight="1" x14ac:dyDescent="0.35">
      <c r="A34" s="57"/>
      <c r="B34" s="57"/>
      <c r="C34" s="57"/>
      <c r="D34" s="57"/>
      <c r="E34" s="57"/>
      <c r="F34" s="57"/>
      <c r="G34" s="57"/>
      <c r="H34" s="57"/>
      <c r="I34" s="57"/>
      <c r="J34" s="57"/>
      <c r="K34" s="57"/>
      <c r="L34" s="57"/>
      <c r="M34" s="57"/>
    </row>
  </sheetData>
  <sheetProtection algorithmName="SHA-512" hashValue="Y9BKP5HFBELQXEvxHO4aoNQVoqDQMH509LoP51giGmSPGg7oNfizPjSl8q8ml7fQytr+G7aUJpPlnijstwW5xw==" saltValue="jcWhHpLy5UEwJA7uruNvdQ==" spinCount="100000" sheet="1" objects="1" scenarios="1" selectLockedCells="1" selectUnlockedCells="1"/>
  <mergeCells count="3">
    <mergeCell ref="C4:C5"/>
    <mergeCell ref="D4:G4"/>
    <mergeCell ref="C13:G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6"/>
  <sheetViews>
    <sheetView zoomScale="101" workbookViewId="0">
      <selection activeCell="K51" sqref="K51"/>
    </sheetView>
  </sheetViews>
  <sheetFormatPr defaultColWidth="36.36328125" defaultRowHeight="19.05" customHeight="1" x14ac:dyDescent="0.3"/>
  <cols>
    <col min="1" max="1" width="8.6328125" style="2" customWidth="1"/>
    <col min="2" max="2" width="3.6328125" style="2" customWidth="1"/>
    <col min="3" max="3" width="32.26953125" style="2" customWidth="1"/>
    <col min="4" max="4" width="6.90625" style="2" customWidth="1"/>
    <col min="5" max="5" width="33" style="2" customWidth="1"/>
    <col min="6" max="6" width="65.453125" style="2" customWidth="1"/>
    <col min="7" max="7" width="3.6328125" style="2" customWidth="1"/>
    <col min="8" max="8" width="8.6328125" style="2" customWidth="1"/>
    <col min="9" max="16384" width="36.36328125" style="2"/>
  </cols>
  <sheetData>
    <row r="1" spans="1:8" ht="8.1" customHeight="1" x14ac:dyDescent="0.3">
      <c r="A1" s="10"/>
      <c r="B1" s="10"/>
      <c r="C1" s="10"/>
      <c r="D1" s="10"/>
      <c r="E1" s="10"/>
      <c r="F1" s="10"/>
      <c r="G1" s="10"/>
      <c r="H1" s="10"/>
    </row>
    <row r="2" spans="1:8" ht="31" customHeight="1" x14ac:dyDescent="0.35">
      <c r="A2" s="10"/>
      <c r="C2" s="29" t="s">
        <v>167</v>
      </c>
      <c r="D2" s="6"/>
      <c r="H2" s="10"/>
    </row>
    <row r="3" spans="1:8" ht="7.05" customHeight="1" x14ac:dyDescent="0.3">
      <c r="A3" s="10"/>
      <c r="H3" s="10"/>
    </row>
    <row r="4" spans="1:8" s="3" customFormat="1" ht="22.05" customHeight="1" thickBot="1" x14ac:dyDescent="0.4">
      <c r="A4" s="11"/>
      <c r="C4" s="38" t="s">
        <v>168</v>
      </c>
      <c r="D4" s="39" t="s">
        <v>67</v>
      </c>
      <c r="E4" s="39" t="s">
        <v>169</v>
      </c>
      <c r="F4" s="39" t="s">
        <v>77</v>
      </c>
      <c r="H4" s="11"/>
    </row>
    <row r="5" spans="1:8" ht="22.05" customHeight="1" thickTop="1" x14ac:dyDescent="0.3">
      <c r="A5" s="10"/>
      <c r="C5" s="30" t="s">
        <v>245</v>
      </c>
      <c r="D5" s="19" t="s">
        <v>83</v>
      </c>
      <c r="E5" s="19" t="s">
        <v>246</v>
      </c>
      <c r="F5" s="19" t="s">
        <v>175</v>
      </c>
      <c r="H5" s="10"/>
    </row>
    <row r="6" spans="1:8" ht="22.05" customHeight="1" x14ac:dyDescent="0.3">
      <c r="A6" s="10"/>
      <c r="C6" s="23" t="s">
        <v>247</v>
      </c>
      <c r="D6" s="13" t="s">
        <v>87</v>
      </c>
      <c r="E6" s="13" t="s">
        <v>176</v>
      </c>
      <c r="F6" s="13" t="s">
        <v>248</v>
      </c>
      <c r="H6" s="10"/>
    </row>
    <row r="7" spans="1:8" ht="22.05" customHeight="1" x14ac:dyDescent="0.3">
      <c r="A7" s="10"/>
      <c r="C7" s="23" t="s">
        <v>249</v>
      </c>
      <c r="D7" s="13" t="s">
        <v>83</v>
      </c>
      <c r="E7" s="13" t="s">
        <v>250</v>
      </c>
      <c r="F7" s="13"/>
      <c r="H7" s="10"/>
    </row>
    <row r="8" spans="1:8" ht="22.05" customHeight="1" x14ac:dyDescent="0.3">
      <c r="A8" s="10"/>
      <c r="C8" s="23" t="s">
        <v>251</v>
      </c>
      <c r="D8" s="13" t="s">
        <v>87</v>
      </c>
      <c r="E8" s="13" t="s">
        <v>176</v>
      </c>
      <c r="F8" s="13"/>
      <c r="H8" s="10"/>
    </row>
    <row r="9" spans="1:8" ht="22.05" customHeight="1" x14ac:dyDescent="0.3">
      <c r="A9" s="10"/>
      <c r="C9" s="23" t="s">
        <v>252</v>
      </c>
      <c r="D9" s="13" t="s">
        <v>92</v>
      </c>
      <c r="E9" s="13" t="s">
        <v>253</v>
      </c>
      <c r="F9" s="13" t="s">
        <v>254</v>
      </c>
      <c r="H9" s="10"/>
    </row>
    <row r="10" spans="1:8" ht="22.05" customHeight="1" x14ac:dyDescent="0.3">
      <c r="A10" s="10"/>
      <c r="C10" s="23" t="s">
        <v>255</v>
      </c>
      <c r="D10" s="13" t="s">
        <v>70</v>
      </c>
      <c r="E10" s="13" t="s">
        <v>253</v>
      </c>
      <c r="F10" s="13"/>
      <c r="H10" s="10"/>
    </row>
    <row r="11" spans="1:8" ht="22.05" customHeight="1" x14ac:dyDescent="0.3">
      <c r="A11" s="10"/>
      <c r="C11" s="23" t="s">
        <v>256</v>
      </c>
      <c r="D11" s="13" t="s">
        <v>171</v>
      </c>
      <c r="E11" s="13" t="s">
        <v>253</v>
      </c>
      <c r="F11" s="13"/>
      <c r="H11" s="10"/>
    </row>
    <row r="12" spans="1:8" ht="22.05" customHeight="1" x14ac:dyDescent="0.3">
      <c r="A12" s="10"/>
      <c r="C12" s="23" t="s">
        <v>172</v>
      </c>
      <c r="D12" s="13" t="s">
        <v>94</v>
      </c>
      <c r="E12" s="13" t="s">
        <v>176</v>
      </c>
      <c r="F12" s="13"/>
      <c r="H12" s="10"/>
    </row>
    <row r="13" spans="1:8" ht="22.05" customHeight="1" x14ac:dyDescent="0.3">
      <c r="A13" s="10"/>
      <c r="C13" s="23" t="s">
        <v>257</v>
      </c>
      <c r="D13" s="13" t="s">
        <v>75</v>
      </c>
      <c r="E13" s="13" t="s">
        <v>258</v>
      </c>
      <c r="F13" s="13"/>
      <c r="H13" s="10"/>
    </row>
    <row r="14" spans="1:8" ht="22.05" customHeight="1" x14ac:dyDescent="0.3">
      <c r="A14" s="10"/>
      <c r="C14" s="23" t="s">
        <v>259</v>
      </c>
      <c r="D14" s="13" t="s">
        <v>94</v>
      </c>
      <c r="E14" s="13" t="s">
        <v>182</v>
      </c>
      <c r="F14" s="13" t="s">
        <v>260</v>
      </c>
      <c r="H14" s="10"/>
    </row>
    <row r="15" spans="1:8" ht="22.05" customHeight="1" x14ac:dyDescent="0.3">
      <c r="A15" s="10"/>
      <c r="C15" s="23" t="s">
        <v>261</v>
      </c>
      <c r="D15" s="13" t="s">
        <v>96</v>
      </c>
      <c r="E15" s="13" t="s">
        <v>262</v>
      </c>
      <c r="F15" s="13" t="s">
        <v>263</v>
      </c>
      <c r="H15" s="10"/>
    </row>
    <row r="16" spans="1:8" ht="22.05" customHeight="1" x14ac:dyDescent="0.3">
      <c r="A16" s="10"/>
      <c r="C16" s="23" t="s">
        <v>264</v>
      </c>
      <c r="D16" s="13" t="s">
        <v>75</v>
      </c>
      <c r="E16" s="13" t="s">
        <v>182</v>
      </c>
      <c r="F16" s="13"/>
      <c r="H16" s="10"/>
    </row>
    <row r="17" spans="1:8" ht="22.05" customHeight="1" x14ac:dyDescent="0.3">
      <c r="A17" s="10"/>
      <c r="C17" s="23" t="s">
        <v>265</v>
      </c>
      <c r="D17" s="13" t="s">
        <v>70</v>
      </c>
      <c r="E17" s="13" t="s">
        <v>176</v>
      </c>
      <c r="F17" s="13"/>
      <c r="H17" s="10"/>
    </row>
    <row r="18" spans="1:8" ht="22.05" customHeight="1" x14ac:dyDescent="0.3">
      <c r="A18" s="10"/>
      <c r="C18" s="23" t="s">
        <v>266</v>
      </c>
      <c r="D18" s="13" t="s">
        <v>72</v>
      </c>
      <c r="E18" s="13" t="s">
        <v>182</v>
      </c>
      <c r="F18" s="13"/>
      <c r="H18" s="10"/>
    </row>
    <row r="19" spans="1:8" ht="22.05" customHeight="1" x14ac:dyDescent="0.3">
      <c r="A19" s="10"/>
      <c r="C19" s="23" t="s">
        <v>267</v>
      </c>
      <c r="D19" s="13" t="s">
        <v>73</v>
      </c>
      <c r="E19" s="13" t="s">
        <v>177</v>
      </c>
      <c r="F19" s="13"/>
      <c r="H19" s="10"/>
    </row>
    <row r="20" spans="1:8" ht="22.05" customHeight="1" x14ac:dyDescent="0.3">
      <c r="A20" s="10"/>
      <c r="C20" s="23" t="s">
        <v>268</v>
      </c>
      <c r="D20" s="13" t="s">
        <v>73</v>
      </c>
      <c r="E20" s="13" t="s">
        <v>177</v>
      </c>
      <c r="F20" s="13"/>
      <c r="H20" s="10"/>
    </row>
    <row r="21" spans="1:8" ht="22.05" customHeight="1" x14ac:dyDescent="0.3">
      <c r="A21" s="10"/>
      <c r="C21" s="23" t="s">
        <v>414</v>
      </c>
      <c r="D21" s="13" t="s">
        <v>73</v>
      </c>
      <c r="E21" s="13" t="s">
        <v>253</v>
      </c>
      <c r="F21" s="13"/>
      <c r="H21" s="10"/>
    </row>
    <row r="22" spans="1:8" ht="22.05" customHeight="1" x14ac:dyDescent="0.3">
      <c r="A22" s="10"/>
      <c r="C22" s="23" t="s">
        <v>179</v>
      </c>
      <c r="D22" s="13" t="s">
        <v>73</v>
      </c>
      <c r="E22" s="13" t="s">
        <v>177</v>
      </c>
      <c r="F22" s="13"/>
      <c r="H22" s="10"/>
    </row>
    <row r="23" spans="1:8" ht="22.05" customHeight="1" x14ac:dyDescent="0.3">
      <c r="A23" s="10"/>
      <c r="C23" s="23" t="s">
        <v>269</v>
      </c>
      <c r="D23" s="13" t="s">
        <v>270</v>
      </c>
      <c r="E23" s="13" t="s">
        <v>176</v>
      </c>
      <c r="F23" s="13"/>
      <c r="H23" s="10"/>
    </row>
    <row r="24" spans="1:8" ht="22.05" customHeight="1" x14ac:dyDescent="0.3">
      <c r="A24" s="10"/>
      <c r="C24" s="23" t="s">
        <v>180</v>
      </c>
      <c r="D24" s="13" t="s">
        <v>181</v>
      </c>
      <c r="E24" s="13" t="s">
        <v>328</v>
      </c>
      <c r="F24" s="13"/>
      <c r="H24" s="10"/>
    </row>
    <row r="25" spans="1:8" ht="22.05" customHeight="1" x14ac:dyDescent="0.3">
      <c r="A25" s="10"/>
      <c r="C25" s="23" t="s">
        <v>178</v>
      </c>
      <c r="D25" s="13"/>
      <c r="E25" s="13" t="s">
        <v>325</v>
      </c>
      <c r="F25" s="13"/>
      <c r="H25" s="10"/>
    </row>
    <row r="26" spans="1:8" ht="22.05" customHeight="1" x14ac:dyDescent="0.3">
      <c r="A26" s="10"/>
      <c r="H26" s="10"/>
    </row>
    <row r="27" spans="1:8" s="3" customFormat="1" ht="31" customHeight="1" x14ac:dyDescent="0.35">
      <c r="A27" s="11"/>
      <c r="C27" s="117" t="s">
        <v>170</v>
      </c>
      <c r="H27" s="11"/>
    </row>
    <row r="28" spans="1:8" s="32" customFormat="1" ht="22.05" customHeight="1" x14ac:dyDescent="0.35">
      <c r="A28" s="33"/>
      <c r="C28" s="31" t="s">
        <v>275</v>
      </c>
      <c r="H28" s="33"/>
    </row>
    <row r="29" spans="1:8" s="32" customFormat="1" ht="22.05" customHeight="1" x14ac:dyDescent="0.35">
      <c r="A29" s="33"/>
      <c r="C29" s="34" t="s">
        <v>274</v>
      </c>
      <c r="H29" s="33"/>
    </row>
    <row r="30" spans="1:8" s="32" customFormat="1" ht="36.299999999999997" customHeight="1" x14ac:dyDescent="0.35">
      <c r="A30" s="33"/>
      <c r="C30" s="216" t="s">
        <v>271</v>
      </c>
      <c r="D30" s="216"/>
      <c r="E30" s="216"/>
      <c r="F30" s="216"/>
      <c r="H30" s="33"/>
    </row>
    <row r="31" spans="1:8" s="32" customFormat="1" ht="22.05" customHeight="1" x14ac:dyDescent="0.35">
      <c r="A31" s="33"/>
      <c r="C31" s="34" t="s">
        <v>351</v>
      </c>
      <c r="H31" s="33"/>
    </row>
    <row r="32" spans="1:8" s="32" customFormat="1" ht="22.05" customHeight="1" x14ac:dyDescent="0.35">
      <c r="A32" s="33"/>
      <c r="C32" s="34" t="s">
        <v>272</v>
      </c>
      <c r="H32" s="33"/>
    </row>
    <row r="33" spans="1:8" s="32" customFormat="1" ht="22.05" customHeight="1" x14ac:dyDescent="0.35">
      <c r="A33" s="33"/>
      <c r="C33" s="34" t="s">
        <v>273</v>
      </c>
      <c r="H33" s="33"/>
    </row>
    <row r="34" spans="1:8" s="35" customFormat="1" ht="22.05" customHeight="1" x14ac:dyDescent="0.35">
      <c r="A34" s="36"/>
      <c r="C34" s="34" t="s">
        <v>338</v>
      </c>
      <c r="H34" s="36"/>
    </row>
    <row r="35" spans="1:8" ht="22.05" customHeight="1" x14ac:dyDescent="0.3">
      <c r="A35" s="10"/>
      <c r="H35" s="10"/>
    </row>
    <row r="36" spans="1:8" ht="8.1" customHeight="1" x14ac:dyDescent="0.3">
      <c r="A36" s="10"/>
      <c r="B36" s="10"/>
      <c r="C36" s="10"/>
      <c r="D36" s="10"/>
      <c r="E36" s="10"/>
      <c r="F36" s="10"/>
      <c r="G36" s="10"/>
      <c r="H36" s="10"/>
    </row>
  </sheetData>
  <sheetProtection algorithmName="SHA-512" hashValue="GHkIoqYyvnZ/hm4uBlFbumynuGAPv/U2pHtUPo8b5BpnpklKpiLCRhk87E7g0n69sTaoduDsWcaasbfyuihJ5Q==" saltValue="RVIUnHQf+QeXrzmYjSv08w==" spinCount="100000" sheet="1" objects="1" scenarios="1" selectLockedCells="1" selectUnlockedCells="1"/>
  <mergeCells count="1">
    <mergeCell ref="C30:F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F4E8-C478-4D00-AD2A-5C5A6DD88495}">
  <dimension ref="B2:N48"/>
  <sheetViews>
    <sheetView showGridLines="0" zoomScale="50" zoomScaleNormal="50" workbookViewId="0">
      <selection activeCell="AJ64" sqref="AJ64"/>
    </sheetView>
  </sheetViews>
  <sheetFormatPr defaultRowHeight="16.149999999999999" x14ac:dyDescent="0.35"/>
  <cols>
    <col min="3" max="3" width="3.6328125" customWidth="1"/>
    <col min="13" max="13" width="3.6328125" customWidth="1"/>
  </cols>
  <sheetData>
    <row r="2" spans="2:14" ht="8.1" customHeight="1" x14ac:dyDescent="0.35">
      <c r="B2" s="174"/>
      <c r="C2" s="57"/>
      <c r="D2" s="57"/>
      <c r="E2" s="57"/>
      <c r="F2" s="57"/>
      <c r="G2" s="57"/>
      <c r="H2" s="57"/>
      <c r="I2" s="57"/>
      <c r="J2" s="57"/>
      <c r="K2" s="57"/>
      <c r="L2" s="57"/>
      <c r="M2" s="57"/>
      <c r="N2" s="57"/>
    </row>
    <row r="3" spans="2:14" x14ac:dyDescent="0.35">
      <c r="B3" s="57"/>
      <c r="N3" s="57"/>
    </row>
    <row r="4" spans="2:14" x14ac:dyDescent="0.35">
      <c r="B4" s="57"/>
      <c r="N4" s="57"/>
    </row>
    <row r="5" spans="2:14" x14ac:dyDescent="0.35">
      <c r="B5" s="57"/>
      <c r="N5" s="57"/>
    </row>
    <row r="6" spans="2:14" x14ac:dyDescent="0.35">
      <c r="B6" s="57"/>
      <c r="N6" s="57"/>
    </row>
    <row r="7" spans="2:14" x14ac:dyDescent="0.35">
      <c r="B7" s="57"/>
      <c r="N7" s="57"/>
    </row>
    <row r="8" spans="2:14" x14ac:dyDescent="0.35">
      <c r="B8" s="57"/>
      <c r="N8" s="57"/>
    </row>
    <row r="9" spans="2:14" x14ac:dyDescent="0.35">
      <c r="B9" s="57"/>
      <c r="N9" s="57"/>
    </row>
    <row r="10" spans="2:14" x14ac:dyDescent="0.35">
      <c r="B10" s="57"/>
      <c r="N10" s="57"/>
    </row>
    <row r="11" spans="2:14" x14ac:dyDescent="0.35">
      <c r="B11" s="57"/>
      <c r="N11" s="57"/>
    </row>
    <row r="12" spans="2:14" x14ac:dyDescent="0.35">
      <c r="B12" s="57"/>
      <c r="N12" s="57"/>
    </row>
    <row r="13" spans="2:14" x14ac:dyDescent="0.35">
      <c r="B13" s="57"/>
      <c r="N13" s="57"/>
    </row>
    <row r="14" spans="2:14" x14ac:dyDescent="0.35">
      <c r="B14" s="57"/>
      <c r="N14" s="57"/>
    </row>
    <row r="15" spans="2:14" x14ac:dyDescent="0.35">
      <c r="B15" s="57"/>
      <c r="N15" s="57"/>
    </row>
    <row r="16" spans="2:14" x14ac:dyDescent="0.35">
      <c r="B16" s="57"/>
      <c r="N16" s="57"/>
    </row>
    <row r="17" spans="2:14" x14ac:dyDescent="0.35">
      <c r="B17" s="57"/>
      <c r="N17" s="57"/>
    </row>
    <row r="18" spans="2:14" x14ac:dyDescent="0.35">
      <c r="B18" s="57"/>
      <c r="N18" s="57"/>
    </row>
    <row r="19" spans="2:14" x14ac:dyDescent="0.35">
      <c r="B19" s="57"/>
      <c r="N19" s="57"/>
    </row>
    <row r="20" spans="2:14" x14ac:dyDescent="0.35">
      <c r="B20" s="57"/>
      <c r="N20" s="57"/>
    </row>
    <row r="21" spans="2:14" x14ac:dyDescent="0.35">
      <c r="B21" s="57"/>
      <c r="N21" s="57"/>
    </row>
    <row r="22" spans="2:14" x14ac:dyDescent="0.35">
      <c r="B22" s="57"/>
      <c r="N22" s="57"/>
    </row>
    <row r="23" spans="2:14" x14ac:dyDescent="0.35">
      <c r="B23" s="57"/>
      <c r="N23" s="57"/>
    </row>
    <row r="24" spans="2:14" x14ac:dyDescent="0.35">
      <c r="B24" s="57"/>
      <c r="N24" s="57"/>
    </row>
    <row r="25" spans="2:14" x14ac:dyDescent="0.35">
      <c r="B25" s="57"/>
      <c r="N25" s="57"/>
    </row>
    <row r="26" spans="2:14" x14ac:dyDescent="0.35">
      <c r="B26" s="57"/>
      <c r="N26" s="57"/>
    </row>
    <row r="27" spans="2:14" x14ac:dyDescent="0.35">
      <c r="B27" s="57"/>
      <c r="N27" s="57"/>
    </row>
    <row r="28" spans="2:14" x14ac:dyDescent="0.35">
      <c r="B28" s="57"/>
      <c r="N28" s="57"/>
    </row>
    <row r="29" spans="2:14" x14ac:dyDescent="0.35">
      <c r="B29" s="57"/>
      <c r="N29" s="57"/>
    </row>
    <row r="30" spans="2:14" x14ac:dyDescent="0.35">
      <c r="B30" s="57"/>
      <c r="N30" s="57"/>
    </row>
    <row r="31" spans="2:14" x14ac:dyDescent="0.35">
      <c r="B31" s="57"/>
      <c r="N31" s="57"/>
    </row>
    <row r="32" spans="2:14" x14ac:dyDescent="0.35">
      <c r="B32" s="57"/>
      <c r="N32" s="57"/>
    </row>
    <row r="33" spans="2:14" x14ac:dyDescent="0.35">
      <c r="B33" s="57"/>
      <c r="N33" s="57"/>
    </row>
    <row r="34" spans="2:14" x14ac:dyDescent="0.35">
      <c r="B34" s="57"/>
      <c r="N34" s="57"/>
    </row>
    <row r="35" spans="2:14" x14ac:dyDescent="0.35">
      <c r="B35" s="57"/>
      <c r="N35" s="57"/>
    </row>
    <row r="36" spans="2:14" x14ac:dyDescent="0.35">
      <c r="B36" s="57"/>
      <c r="N36" s="57"/>
    </row>
    <row r="37" spans="2:14" x14ac:dyDescent="0.35">
      <c r="B37" s="57"/>
      <c r="N37" s="57"/>
    </row>
    <row r="38" spans="2:14" x14ac:dyDescent="0.35">
      <c r="B38" s="57"/>
      <c r="N38" s="57"/>
    </row>
    <row r="39" spans="2:14" x14ac:dyDescent="0.35">
      <c r="B39" s="57"/>
      <c r="N39" s="57"/>
    </row>
    <row r="40" spans="2:14" x14ac:dyDescent="0.35">
      <c r="B40" s="57"/>
      <c r="N40" s="57"/>
    </row>
    <row r="41" spans="2:14" x14ac:dyDescent="0.35">
      <c r="B41" s="57"/>
      <c r="N41" s="57"/>
    </row>
    <row r="42" spans="2:14" x14ac:dyDescent="0.35">
      <c r="B42" s="57"/>
      <c r="N42" s="57"/>
    </row>
    <row r="43" spans="2:14" x14ac:dyDescent="0.35">
      <c r="B43" s="57"/>
      <c r="N43" s="57"/>
    </row>
    <row r="44" spans="2:14" x14ac:dyDescent="0.35">
      <c r="B44" s="57"/>
      <c r="N44" s="57"/>
    </row>
    <row r="45" spans="2:14" x14ac:dyDescent="0.35">
      <c r="B45" s="57"/>
      <c r="N45" s="57"/>
    </row>
    <row r="46" spans="2:14" x14ac:dyDescent="0.35">
      <c r="B46" s="57"/>
      <c r="N46" s="57"/>
    </row>
    <row r="47" spans="2:14" x14ac:dyDescent="0.35">
      <c r="B47" s="57"/>
      <c r="N47" s="57"/>
    </row>
    <row r="48" spans="2:14" ht="8.1" customHeight="1" x14ac:dyDescent="0.35">
      <c r="B48" s="57"/>
      <c r="C48" s="57"/>
      <c r="D48" s="57"/>
      <c r="E48" s="57"/>
      <c r="F48" s="57"/>
      <c r="G48" s="57"/>
      <c r="H48" s="57"/>
      <c r="I48" s="57"/>
      <c r="J48" s="57"/>
      <c r="K48" s="57"/>
      <c r="L48" s="57"/>
      <c r="M48" s="57"/>
      <c r="N48" s="57"/>
    </row>
  </sheetData>
  <sheetProtection algorithmName="SHA-512" hashValue="zPI0uPjVeJCkdU37egoLR57oRKN8rJIEcL/v53fs3CJXbu6PLRuU9B2jz4YLyGKBJ+kVsYHWjxtecuK1Pl7RzQ==" saltValue="KSEtwaKh2CGJkSDd/7+XZA==" spinCount="100000" sheet="1" objects="1" scenarios="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1"/>
  <sheetViews>
    <sheetView showGridLines="0" zoomScaleNormal="100" workbookViewId="0">
      <selection activeCell="W53" sqref="W53"/>
    </sheetView>
  </sheetViews>
  <sheetFormatPr defaultColWidth="10.81640625" defaultRowHeight="19.05" customHeight="1" x14ac:dyDescent="0.3"/>
  <cols>
    <col min="1" max="1" width="8.6328125" style="7" customWidth="1"/>
    <col min="2" max="2" width="3.6328125" style="7" customWidth="1"/>
    <col min="3" max="3" width="17.453125" style="7" customWidth="1"/>
    <col min="4" max="4" width="8.453125" style="7" bestFit="1" customWidth="1"/>
    <col min="5" max="5" width="15.26953125" style="7" customWidth="1"/>
    <col min="6" max="6" width="111" style="7" customWidth="1"/>
    <col min="7" max="7" width="3.6328125" style="7" customWidth="1"/>
    <col min="8" max="8" width="8.6328125" style="7" customWidth="1"/>
    <col min="9" max="9" width="12" style="7" customWidth="1"/>
    <col min="10" max="10" width="10.81640625" style="7"/>
    <col min="11" max="11" width="11.81640625" style="7" customWidth="1"/>
    <col min="12" max="16384" width="10.81640625" style="7"/>
  </cols>
  <sheetData>
    <row r="1" spans="1:8" ht="8.1" customHeight="1" x14ac:dyDescent="0.3">
      <c r="A1" s="169"/>
      <c r="B1" s="169"/>
      <c r="C1" s="169"/>
      <c r="D1" s="169"/>
      <c r="E1" s="169"/>
      <c r="F1" s="169"/>
      <c r="G1" s="169"/>
      <c r="H1" s="169"/>
    </row>
    <row r="2" spans="1:8" ht="31" customHeight="1" x14ac:dyDescent="0.35">
      <c r="A2" s="169"/>
      <c r="C2" s="47" t="s">
        <v>37</v>
      </c>
      <c r="D2" s="161"/>
      <c r="H2" s="10"/>
    </row>
    <row r="3" spans="1:8" ht="7.05" customHeight="1" x14ac:dyDescent="0.3">
      <c r="A3" s="169"/>
      <c r="H3" s="10"/>
    </row>
    <row r="4" spans="1:8" ht="22.05" customHeight="1" x14ac:dyDescent="0.3">
      <c r="A4" s="169"/>
      <c r="C4" s="165" t="s">
        <v>211</v>
      </c>
      <c r="D4" s="165" t="s">
        <v>212</v>
      </c>
      <c r="E4" s="182" t="s">
        <v>342</v>
      </c>
      <c r="F4" s="182"/>
      <c r="H4" s="10"/>
    </row>
    <row r="5" spans="1:8" ht="22.05" customHeight="1" x14ac:dyDescent="0.3">
      <c r="A5" s="169"/>
      <c r="C5" s="166" t="s">
        <v>276</v>
      </c>
      <c r="D5" s="166" t="s">
        <v>277</v>
      </c>
      <c r="E5" s="183" t="s">
        <v>278</v>
      </c>
      <c r="F5" s="183"/>
      <c r="H5" s="10"/>
    </row>
    <row r="6" spans="1:8" ht="22.05" customHeight="1" x14ac:dyDescent="0.3">
      <c r="A6" s="169"/>
      <c r="C6" s="167" t="s">
        <v>213</v>
      </c>
      <c r="D6" s="167" t="s">
        <v>214</v>
      </c>
      <c r="E6" s="184" t="s">
        <v>215</v>
      </c>
      <c r="F6" s="185"/>
      <c r="H6" s="10"/>
    </row>
    <row r="7" spans="1:8" ht="22.05" customHeight="1" x14ac:dyDescent="0.3">
      <c r="A7" s="169"/>
      <c r="C7" s="167" t="s">
        <v>417</v>
      </c>
      <c r="D7" s="167" t="s">
        <v>216</v>
      </c>
      <c r="E7" s="168" t="s">
        <v>343</v>
      </c>
      <c r="F7" s="13"/>
      <c r="G7" s="162"/>
      <c r="H7" s="10"/>
    </row>
    <row r="8" spans="1:8" ht="22.05" customHeight="1" x14ac:dyDescent="0.3">
      <c r="A8" s="169"/>
      <c r="C8" s="167" t="s">
        <v>217</v>
      </c>
      <c r="D8" s="167" t="s">
        <v>216</v>
      </c>
      <c r="E8" s="184" t="s">
        <v>344</v>
      </c>
      <c r="F8" s="185"/>
      <c r="H8" s="10"/>
    </row>
    <row r="9" spans="1:8" ht="22.05" customHeight="1" x14ac:dyDescent="0.3">
      <c r="A9" s="169"/>
      <c r="C9" s="167" t="s">
        <v>416</v>
      </c>
      <c r="D9" s="167" t="s">
        <v>218</v>
      </c>
      <c r="E9" s="181" t="s">
        <v>324</v>
      </c>
      <c r="F9" s="181"/>
      <c r="G9" s="163"/>
      <c r="H9" s="10"/>
    </row>
    <row r="10" spans="1:8" ht="22.05" customHeight="1" x14ac:dyDescent="0.3">
      <c r="A10" s="169"/>
      <c r="C10" s="167" t="s">
        <v>63</v>
      </c>
      <c r="D10" s="167" t="s">
        <v>219</v>
      </c>
      <c r="E10" s="181" t="s">
        <v>220</v>
      </c>
      <c r="F10" s="181"/>
      <c r="H10" s="10"/>
    </row>
    <row r="11" spans="1:8" ht="22.05" customHeight="1" x14ac:dyDescent="0.3">
      <c r="A11" s="169"/>
      <c r="C11" s="167" t="s">
        <v>221</v>
      </c>
      <c r="D11" s="167" t="s">
        <v>218</v>
      </c>
      <c r="E11" s="181" t="s">
        <v>222</v>
      </c>
      <c r="F11" s="181"/>
      <c r="H11" s="10"/>
    </row>
    <row r="12" spans="1:8" ht="22.05" customHeight="1" x14ac:dyDescent="0.3">
      <c r="A12" s="169"/>
      <c r="C12" s="167" t="s">
        <v>183</v>
      </c>
      <c r="D12" s="167" t="s">
        <v>223</v>
      </c>
      <c r="E12" s="181" t="s">
        <v>345</v>
      </c>
      <c r="F12" s="181"/>
      <c r="H12" s="10"/>
    </row>
    <row r="13" spans="1:8" ht="22.05" customHeight="1" x14ac:dyDescent="0.3">
      <c r="A13" s="169"/>
      <c r="C13" s="167" t="s">
        <v>224</v>
      </c>
      <c r="D13" s="167" t="s">
        <v>223</v>
      </c>
      <c r="E13" s="181" t="s">
        <v>346</v>
      </c>
      <c r="F13" s="181"/>
      <c r="H13" s="10"/>
    </row>
    <row r="14" spans="1:8" ht="22.05" customHeight="1" x14ac:dyDescent="0.3">
      <c r="A14" s="169"/>
      <c r="C14" s="167" t="s">
        <v>184</v>
      </c>
      <c r="D14" s="167" t="s">
        <v>218</v>
      </c>
      <c r="E14" s="181" t="s">
        <v>421</v>
      </c>
      <c r="F14" s="181"/>
      <c r="H14" s="10"/>
    </row>
    <row r="15" spans="1:8" ht="22.05" customHeight="1" x14ac:dyDescent="0.3">
      <c r="A15" s="169"/>
      <c r="C15" s="167" t="s">
        <v>185</v>
      </c>
      <c r="D15" s="167" t="s">
        <v>223</v>
      </c>
      <c r="E15" s="181" t="s">
        <v>225</v>
      </c>
      <c r="F15" s="181"/>
      <c r="H15" s="10"/>
    </row>
    <row r="16" spans="1:8" ht="22.05" customHeight="1" x14ac:dyDescent="0.3">
      <c r="A16" s="169"/>
      <c r="C16" s="167" t="s">
        <v>190</v>
      </c>
      <c r="D16" s="167" t="s">
        <v>218</v>
      </c>
      <c r="E16" s="181" t="s">
        <v>422</v>
      </c>
      <c r="F16" s="181"/>
      <c r="H16" s="10"/>
    </row>
    <row r="17" spans="1:8" ht="22.05" customHeight="1" x14ac:dyDescent="0.3">
      <c r="A17" s="169"/>
      <c r="C17" s="167" t="s">
        <v>191</v>
      </c>
      <c r="D17" s="167" t="s">
        <v>218</v>
      </c>
      <c r="E17" s="181" t="s">
        <v>423</v>
      </c>
      <c r="F17" s="181"/>
      <c r="H17" s="10"/>
    </row>
    <row r="18" spans="1:8" ht="22.05" customHeight="1" x14ac:dyDescent="0.3">
      <c r="A18" s="169"/>
      <c r="C18" s="167" t="s">
        <v>192</v>
      </c>
      <c r="D18" s="167" t="s">
        <v>218</v>
      </c>
      <c r="E18" s="181" t="s">
        <v>424</v>
      </c>
      <c r="F18" s="181"/>
      <c r="H18" s="10"/>
    </row>
    <row r="19" spans="1:8" ht="22.05" customHeight="1" x14ac:dyDescent="0.3">
      <c r="A19" s="169"/>
      <c r="C19" s="167" t="s">
        <v>226</v>
      </c>
      <c r="D19" s="167" t="s">
        <v>218</v>
      </c>
      <c r="E19" s="181" t="s">
        <v>487</v>
      </c>
      <c r="F19" s="181"/>
      <c r="H19" s="10"/>
    </row>
    <row r="20" spans="1:8" ht="22.05" customHeight="1" x14ac:dyDescent="0.3">
      <c r="A20" s="169"/>
      <c r="C20" s="167" t="s">
        <v>186</v>
      </c>
      <c r="D20" s="167" t="s">
        <v>218</v>
      </c>
      <c r="E20" s="181" t="s">
        <v>488</v>
      </c>
      <c r="F20" s="181"/>
      <c r="H20" s="10"/>
    </row>
    <row r="21" spans="1:8" ht="22.05" customHeight="1" x14ac:dyDescent="0.3">
      <c r="A21" s="169"/>
      <c r="C21" s="167" t="s">
        <v>227</v>
      </c>
      <c r="D21" s="167" t="s">
        <v>218</v>
      </c>
      <c r="E21" s="181" t="s">
        <v>425</v>
      </c>
      <c r="F21" s="181"/>
      <c r="H21" s="10"/>
    </row>
    <row r="22" spans="1:8" ht="22.05" customHeight="1" x14ac:dyDescent="0.3">
      <c r="A22" s="169"/>
      <c r="C22" s="167" t="s">
        <v>228</v>
      </c>
      <c r="D22" s="167" t="s">
        <v>223</v>
      </c>
      <c r="E22" s="181" t="s">
        <v>432</v>
      </c>
      <c r="F22" s="181"/>
      <c r="H22" s="10"/>
    </row>
    <row r="23" spans="1:8" ht="22.05" customHeight="1" x14ac:dyDescent="0.3">
      <c r="A23" s="169"/>
      <c r="C23" s="167" t="s">
        <v>418</v>
      </c>
      <c r="D23" s="167" t="s">
        <v>223</v>
      </c>
      <c r="E23" s="181" t="s">
        <v>434</v>
      </c>
      <c r="F23" s="181"/>
      <c r="G23" s="163"/>
      <c r="H23" s="10"/>
    </row>
    <row r="24" spans="1:8" ht="22.05" customHeight="1" x14ac:dyDescent="0.3">
      <c r="A24" s="169"/>
      <c r="C24" s="167" t="s">
        <v>187</v>
      </c>
      <c r="D24" s="167" t="s">
        <v>218</v>
      </c>
      <c r="E24" s="181" t="s">
        <v>426</v>
      </c>
      <c r="F24" s="181"/>
      <c r="H24" s="10"/>
    </row>
    <row r="25" spans="1:8" ht="22.05" customHeight="1" x14ac:dyDescent="0.3">
      <c r="A25" s="169"/>
      <c r="C25" s="167" t="s">
        <v>188</v>
      </c>
      <c r="D25" s="167" t="s">
        <v>218</v>
      </c>
      <c r="E25" s="181" t="s">
        <v>427</v>
      </c>
      <c r="F25" s="181"/>
      <c r="H25" s="10"/>
    </row>
    <row r="26" spans="1:8" ht="22.05" customHeight="1" x14ac:dyDescent="0.3">
      <c r="A26" s="169"/>
      <c r="C26" s="167" t="s">
        <v>189</v>
      </c>
      <c r="D26" s="167" t="s">
        <v>223</v>
      </c>
      <c r="E26" s="181" t="s">
        <v>347</v>
      </c>
      <c r="F26" s="181"/>
      <c r="H26" s="10"/>
    </row>
    <row r="27" spans="1:8" ht="22.05" customHeight="1" x14ac:dyDescent="0.3">
      <c r="A27" s="169"/>
      <c r="C27" s="167" t="s">
        <v>193</v>
      </c>
      <c r="D27" s="167" t="s">
        <v>218</v>
      </c>
      <c r="E27" s="181" t="s">
        <v>296</v>
      </c>
      <c r="F27" s="181"/>
      <c r="H27" s="10"/>
    </row>
    <row r="28" spans="1:8" ht="22.05" customHeight="1" x14ac:dyDescent="0.3">
      <c r="A28" s="169"/>
      <c r="C28" s="167" t="s">
        <v>194</v>
      </c>
      <c r="D28" s="167" t="s">
        <v>218</v>
      </c>
      <c r="E28" s="181" t="s">
        <v>297</v>
      </c>
      <c r="F28" s="181"/>
      <c r="H28" s="10"/>
    </row>
    <row r="29" spans="1:8" ht="22.05" customHeight="1" x14ac:dyDescent="0.3">
      <c r="A29" s="169"/>
      <c r="C29" s="167" t="s">
        <v>195</v>
      </c>
      <c r="D29" s="167" t="s">
        <v>218</v>
      </c>
      <c r="E29" s="181" t="s">
        <v>298</v>
      </c>
      <c r="F29" s="181"/>
      <c r="H29" s="10"/>
    </row>
    <row r="30" spans="1:8" ht="22.05" customHeight="1" x14ac:dyDescent="0.3">
      <c r="A30" s="169"/>
      <c r="C30" s="167" t="s">
        <v>196</v>
      </c>
      <c r="D30" s="167" t="s">
        <v>218</v>
      </c>
      <c r="E30" s="181" t="s">
        <v>428</v>
      </c>
      <c r="F30" s="181"/>
      <c r="H30" s="10"/>
    </row>
    <row r="31" spans="1:8" ht="22.05" customHeight="1" x14ac:dyDescent="0.3">
      <c r="A31" s="169"/>
      <c r="C31" s="167" t="s">
        <v>197</v>
      </c>
      <c r="D31" s="167" t="s">
        <v>218</v>
      </c>
      <c r="E31" s="181" t="s">
        <v>429</v>
      </c>
      <c r="F31" s="181"/>
      <c r="H31" s="10"/>
    </row>
    <row r="32" spans="1:8" ht="22.05" customHeight="1" x14ac:dyDescent="0.3">
      <c r="A32" s="169"/>
      <c r="C32" s="167" t="s">
        <v>198</v>
      </c>
      <c r="D32" s="167" t="s">
        <v>218</v>
      </c>
      <c r="E32" s="181" t="s">
        <v>430</v>
      </c>
      <c r="F32" s="181"/>
      <c r="H32" s="10"/>
    </row>
    <row r="33" spans="1:8" ht="22.05" customHeight="1" x14ac:dyDescent="0.3">
      <c r="A33" s="169"/>
      <c r="C33" s="167" t="s">
        <v>199</v>
      </c>
      <c r="D33" s="167" t="s">
        <v>218</v>
      </c>
      <c r="E33" s="181" t="s">
        <v>431</v>
      </c>
      <c r="F33" s="181"/>
      <c r="H33" s="10"/>
    </row>
    <row r="34" spans="1:8" ht="22.05" customHeight="1" x14ac:dyDescent="0.3">
      <c r="A34" s="169"/>
      <c r="C34" s="167" t="s">
        <v>200</v>
      </c>
      <c r="D34" s="167" t="s">
        <v>218</v>
      </c>
      <c r="E34" s="181" t="s">
        <v>299</v>
      </c>
      <c r="F34" s="181"/>
      <c r="H34" s="10"/>
    </row>
    <row r="35" spans="1:8" ht="22.05" customHeight="1" x14ac:dyDescent="0.3">
      <c r="A35" s="169"/>
      <c r="C35" s="167" t="s">
        <v>201</v>
      </c>
      <c r="D35" s="167" t="s">
        <v>218</v>
      </c>
      <c r="E35" s="181" t="s">
        <v>300</v>
      </c>
      <c r="F35" s="181"/>
      <c r="H35" s="10"/>
    </row>
    <row r="36" spans="1:8" ht="7.05" customHeight="1" x14ac:dyDescent="0.3">
      <c r="A36" s="169"/>
      <c r="E36" s="164"/>
      <c r="F36" s="164"/>
      <c r="H36" s="10"/>
    </row>
    <row r="37" spans="1:8" ht="22.05" customHeight="1" x14ac:dyDescent="0.3">
      <c r="A37" s="169"/>
      <c r="C37" s="115" t="s">
        <v>420</v>
      </c>
      <c r="H37" s="10"/>
    </row>
    <row r="38" spans="1:8" ht="22.05" customHeight="1" x14ac:dyDescent="0.3">
      <c r="A38" s="169"/>
      <c r="C38" s="115" t="s">
        <v>433</v>
      </c>
      <c r="H38" s="10"/>
    </row>
    <row r="39" spans="1:8" ht="22.05" customHeight="1" x14ac:dyDescent="0.3">
      <c r="A39" s="169"/>
      <c r="C39" s="115" t="s">
        <v>419</v>
      </c>
      <c r="H39" s="10"/>
    </row>
    <row r="40" spans="1:8" ht="19.05" customHeight="1" x14ac:dyDescent="0.3">
      <c r="A40" s="169"/>
      <c r="H40" s="10"/>
    </row>
    <row r="41" spans="1:8" ht="8.1" customHeight="1" x14ac:dyDescent="0.3">
      <c r="A41" s="169"/>
      <c r="B41" s="169"/>
      <c r="C41" s="169"/>
      <c r="D41" s="169"/>
      <c r="E41" s="169"/>
      <c r="F41" s="169"/>
      <c r="G41" s="169"/>
      <c r="H41" s="169"/>
    </row>
  </sheetData>
  <sheetProtection algorithmName="SHA-512" hashValue="DEbnRfs7qDzNPoj5mHDU0XGRbYCaWa3Ea/WVOCplwvN10S6+vYy+8anw5zQ9IIVSkVOhLo7ItG/xKxOpVNw+/Q==" saltValue="wlTkuIXdyGKaGYg5cL+Isw==" spinCount="100000" sheet="1" objects="1" scenarios="1"/>
  <mergeCells count="31">
    <mergeCell ref="E16:F16"/>
    <mergeCell ref="E17:F17"/>
    <mergeCell ref="E18:F18"/>
    <mergeCell ref="E35:F35"/>
    <mergeCell ref="E24:F24"/>
    <mergeCell ref="E25:F25"/>
    <mergeCell ref="E26:F26"/>
    <mergeCell ref="E27:F27"/>
    <mergeCell ref="E28:F28"/>
    <mergeCell ref="E29:F29"/>
    <mergeCell ref="E30:F30"/>
    <mergeCell ref="E31:F31"/>
    <mergeCell ref="E32:F32"/>
    <mergeCell ref="E33:F33"/>
    <mergeCell ref="E34:F34"/>
    <mergeCell ref="E13:F13"/>
    <mergeCell ref="E4:F4"/>
    <mergeCell ref="E5:F5"/>
    <mergeCell ref="E23:F23"/>
    <mergeCell ref="E12:F12"/>
    <mergeCell ref="E11:F11"/>
    <mergeCell ref="E6:F6"/>
    <mergeCell ref="E8:F8"/>
    <mergeCell ref="E9:F9"/>
    <mergeCell ref="E10:F10"/>
    <mergeCell ref="E14:F14"/>
    <mergeCell ref="E19:F19"/>
    <mergeCell ref="E20:F20"/>
    <mergeCell ref="E21:F21"/>
    <mergeCell ref="E22:F22"/>
    <mergeCell ref="E15:F1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E89B-125E-40B4-9926-E891F31D8848}">
  <dimension ref="A1:O17"/>
  <sheetViews>
    <sheetView showGridLines="0" workbookViewId="0">
      <selection activeCell="B37" sqref="B37"/>
    </sheetView>
  </sheetViews>
  <sheetFormatPr defaultRowHeight="16.149999999999999" x14ac:dyDescent="0.35"/>
  <cols>
    <col min="1" max="1" width="8.6328125" customWidth="1"/>
    <col min="2" max="2" width="3.6328125" customWidth="1"/>
    <col min="3" max="3" width="13.54296875" customWidth="1"/>
    <col min="4" max="4" width="43.90625" bestFit="1" customWidth="1"/>
    <col min="6" max="6" width="3.6328125" customWidth="1"/>
    <col min="7" max="7" width="8.6328125" customWidth="1"/>
    <col min="9" max="9" width="8.6328125" customWidth="1"/>
    <col min="11" max="11" width="10.81640625" customWidth="1"/>
    <col min="15" max="15" width="8.6328125" customWidth="1"/>
  </cols>
  <sheetData>
    <row r="1" spans="1:15" ht="8.1" customHeight="1" x14ac:dyDescent="0.35">
      <c r="A1" s="57"/>
      <c r="B1" s="57"/>
      <c r="C1" s="57"/>
      <c r="D1" s="57"/>
      <c r="E1" s="57"/>
      <c r="F1" s="57"/>
      <c r="G1" s="57"/>
      <c r="I1" s="10"/>
      <c r="J1" s="10"/>
      <c r="K1" s="10"/>
      <c r="L1" s="10"/>
      <c r="M1" s="10"/>
      <c r="N1" s="10"/>
      <c r="O1" s="10"/>
    </row>
    <row r="2" spans="1:15" s="7" customFormat="1" ht="31" customHeight="1" x14ac:dyDescent="0.35">
      <c r="A2" s="10"/>
      <c r="C2" s="47" t="s">
        <v>341</v>
      </c>
      <c r="D2" s="46"/>
      <c r="E2" s="46"/>
      <c r="G2" s="10"/>
      <c r="I2" s="10"/>
      <c r="K2" s="47" t="s">
        <v>439</v>
      </c>
      <c r="O2" s="10"/>
    </row>
    <row r="3" spans="1:15" s="7" customFormat="1" ht="7.05" customHeight="1" x14ac:dyDescent="0.35">
      <c r="A3" s="10"/>
      <c r="C3" s="47"/>
      <c r="D3" s="46"/>
      <c r="E3" s="46"/>
      <c r="G3" s="10"/>
      <c r="I3" s="10"/>
      <c r="O3" s="10"/>
    </row>
    <row r="4" spans="1:15" s="7" customFormat="1" ht="20.05" customHeight="1" thickBot="1" x14ac:dyDescent="0.35">
      <c r="A4" s="10"/>
      <c r="C4" s="37" t="s">
        <v>38</v>
      </c>
      <c r="D4" s="37"/>
      <c r="E4" s="135" t="s">
        <v>76</v>
      </c>
      <c r="G4" s="10"/>
      <c r="I4" s="10"/>
      <c r="K4" s="150" t="s">
        <v>66</v>
      </c>
      <c r="L4" s="150" t="s">
        <v>67</v>
      </c>
      <c r="M4" s="153" t="s">
        <v>378</v>
      </c>
      <c r="O4" s="10"/>
    </row>
    <row r="5" spans="1:15" s="7" customFormat="1" ht="20.05" customHeight="1" thickTop="1" x14ac:dyDescent="0.3">
      <c r="A5" s="10"/>
      <c r="C5" s="186" t="s">
        <v>78</v>
      </c>
      <c r="D5" s="19" t="s">
        <v>348</v>
      </c>
      <c r="E5" s="19">
        <v>0.5</v>
      </c>
      <c r="G5" s="10"/>
      <c r="I5" s="10"/>
      <c r="K5" s="151" t="s">
        <v>64</v>
      </c>
      <c r="L5" s="151"/>
      <c r="M5" s="152">
        <v>2.5</v>
      </c>
      <c r="N5" s="115" t="s">
        <v>415</v>
      </c>
      <c r="O5" s="10"/>
    </row>
    <row r="6" spans="1:15" s="7" customFormat="1" ht="20.05" customHeight="1" x14ac:dyDescent="0.3">
      <c r="A6" s="10"/>
      <c r="C6" s="187"/>
      <c r="D6" s="13" t="s">
        <v>336</v>
      </c>
      <c r="E6" s="13">
        <v>0.75</v>
      </c>
      <c r="G6" s="10"/>
      <c r="I6" s="10"/>
      <c r="K6" s="151" t="s">
        <v>69</v>
      </c>
      <c r="L6" s="151" t="s">
        <v>70</v>
      </c>
      <c r="M6" s="151">
        <v>0.62</v>
      </c>
      <c r="O6" s="10"/>
    </row>
    <row r="7" spans="1:15" s="7" customFormat="1" ht="20.05" customHeight="1" x14ac:dyDescent="0.3">
      <c r="A7" s="10"/>
      <c r="C7" s="187"/>
      <c r="D7" s="13" t="s">
        <v>335</v>
      </c>
      <c r="E7" s="13">
        <v>1</v>
      </c>
      <c r="G7" s="10"/>
      <c r="I7" s="10"/>
      <c r="K7" s="151" t="s">
        <v>71</v>
      </c>
      <c r="L7" s="151" t="s">
        <v>72</v>
      </c>
      <c r="M7" s="151">
        <v>9.5</v>
      </c>
      <c r="O7" s="10"/>
    </row>
    <row r="8" spans="1:15" s="7" customFormat="1" ht="20.05" customHeight="1" x14ac:dyDescent="0.3">
      <c r="A8" s="10"/>
      <c r="C8" s="187" t="s">
        <v>79</v>
      </c>
      <c r="D8" s="13" t="s">
        <v>331</v>
      </c>
      <c r="E8" s="13">
        <v>1.25</v>
      </c>
      <c r="G8" s="10"/>
      <c r="I8" s="10"/>
      <c r="K8" s="151" t="s">
        <v>74</v>
      </c>
      <c r="L8" s="151" t="s">
        <v>75</v>
      </c>
      <c r="M8" s="151">
        <v>207</v>
      </c>
      <c r="O8" s="10"/>
    </row>
    <row r="9" spans="1:15" s="7" customFormat="1" ht="20.05" customHeight="1" x14ac:dyDescent="0.3">
      <c r="A9" s="10"/>
      <c r="C9" s="187"/>
      <c r="D9" s="13" t="s">
        <v>330</v>
      </c>
      <c r="E9" s="20" t="s">
        <v>339</v>
      </c>
      <c r="G9" s="10"/>
      <c r="I9" s="10"/>
      <c r="O9" s="10"/>
    </row>
    <row r="10" spans="1:15" s="7" customFormat="1" ht="20.05" customHeight="1" x14ac:dyDescent="0.3">
      <c r="A10" s="10"/>
      <c r="C10" s="187"/>
      <c r="D10" s="13" t="s">
        <v>333</v>
      </c>
      <c r="E10" s="13">
        <v>1.75</v>
      </c>
      <c r="G10" s="10"/>
      <c r="I10" s="10"/>
      <c r="K10" s="188" t="s">
        <v>412</v>
      </c>
      <c r="L10" s="188"/>
      <c r="M10" s="188"/>
      <c r="O10" s="10"/>
    </row>
    <row r="11" spans="1:15" s="7" customFormat="1" ht="20.05" customHeight="1" x14ac:dyDescent="0.3">
      <c r="A11" s="10"/>
      <c r="C11" s="187" t="s">
        <v>80</v>
      </c>
      <c r="D11" s="13" t="s">
        <v>334</v>
      </c>
      <c r="E11" s="13">
        <v>2</v>
      </c>
      <c r="G11" s="10"/>
      <c r="I11" s="10"/>
      <c r="K11" s="188"/>
      <c r="L11" s="188"/>
      <c r="M11" s="188"/>
      <c r="O11" s="10"/>
    </row>
    <row r="12" spans="1:15" s="7" customFormat="1" ht="20.05" customHeight="1" x14ac:dyDescent="0.3">
      <c r="A12" s="10"/>
      <c r="C12" s="187"/>
      <c r="D12" s="13" t="s">
        <v>332</v>
      </c>
      <c r="E12" s="13">
        <v>2.25</v>
      </c>
      <c r="G12" s="10"/>
      <c r="I12" s="10"/>
      <c r="O12" s="10"/>
    </row>
    <row r="13" spans="1:15" s="7" customFormat="1" ht="20.05" customHeight="1" x14ac:dyDescent="0.3">
      <c r="A13" s="10"/>
      <c r="C13" s="187"/>
      <c r="D13" s="13" t="s">
        <v>329</v>
      </c>
      <c r="E13" s="13">
        <v>2.5</v>
      </c>
      <c r="G13" s="10"/>
      <c r="I13" s="10"/>
      <c r="J13" s="10"/>
      <c r="K13" s="10"/>
      <c r="L13" s="10"/>
      <c r="M13" s="10"/>
      <c r="N13" s="10"/>
      <c r="O13" s="10"/>
    </row>
    <row r="14" spans="1:15" s="7" customFormat="1" ht="20.05" customHeight="1" x14ac:dyDescent="0.3">
      <c r="A14" s="10"/>
      <c r="C14" s="115" t="s">
        <v>337</v>
      </c>
      <c r="D14" s="115"/>
      <c r="E14" s="115"/>
      <c r="G14" s="10"/>
    </row>
    <row r="15" spans="1:15" s="7" customFormat="1" ht="20.05" customHeight="1" x14ac:dyDescent="0.3">
      <c r="A15" s="10"/>
      <c r="C15" s="115" t="s">
        <v>411</v>
      </c>
      <c r="D15" s="115"/>
      <c r="E15" s="115"/>
      <c r="G15" s="10"/>
    </row>
    <row r="16" spans="1:15" s="7" customFormat="1" ht="20.05" customHeight="1" x14ac:dyDescent="0.3">
      <c r="A16" s="10"/>
      <c r="C16" s="115"/>
      <c r="D16" s="115"/>
      <c r="E16" s="115"/>
      <c r="G16" s="10"/>
    </row>
    <row r="17" spans="1:7" ht="8.1" customHeight="1" x14ac:dyDescent="0.35">
      <c r="A17" s="57"/>
      <c r="B17" s="57"/>
      <c r="C17" s="57"/>
      <c r="D17" s="57"/>
      <c r="E17" s="57"/>
      <c r="F17" s="57"/>
      <c r="G17" s="57"/>
    </row>
  </sheetData>
  <sheetProtection algorithmName="SHA-512" hashValue="o6cR8U+13ESDLgTZRnOuSqF7uzxNdeWaeHswZqZ2FhwXA4goyyQWokrpuy354ymSluMGL1wrF7HdfFy34ITZtg==" saltValue="zkiwRu7iobWU6pvx3xbBnQ==" spinCount="100000" sheet="1" objects="1" scenarios="1"/>
  <mergeCells count="4">
    <mergeCell ref="C5:C7"/>
    <mergeCell ref="C8:C10"/>
    <mergeCell ref="C11:C13"/>
    <mergeCell ref="K10:M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FB427-FA2A-41D8-A846-F3771B222D22}">
  <dimension ref="A1:K20"/>
  <sheetViews>
    <sheetView showGridLines="0" workbookViewId="0">
      <selection activeCell="U37" sqref="U37"/>
    </sheetView>
  </sheetViews>
  <sheetFormatPr defaultRowHeight="16.149999999999999" x14ac:dyDescent="0.35"/>
  <cols>
    <col min="1" max="1" width="8.6328125" customWidth="1"/>
    <col min="2" max="2" width="3.6328125" customWidth="1"/>
    <col min="3" max="3" width="14.54296875" bestFit="1" customWidth="1"/>
    <col min="4" max="5" width="15.6328125" customWidth="1"/>
    <col min="6" max="6" width="3.6328125" customWidth="1"/>
    <col min="7" max="7" width="18.90625" bestFit="1" customWidth="1"/>
    <col min="10" max="10" width="3.6328125" customWidth="1"/>
    <col min="11" max="11" width="8.6328125" customWidth="1"/>
  </cols>
  <sheetData>
    <row r="1" spans="1:11" ht="8.1" customHeight="1" x14ac:dyDescent="0.35">
      <c r="A1" s="57"/>
      <c r="B1" s="57"/>
      <c r="C1" s="57"/>
      <c r="D1" s="57"/>
      <c r="E1" s="57"/>
      <c r="F1" s="57"/>
      <c r="G1" s="57"/>
      <c r="H1" s="57"/>
      <c r="I1" s="57"/>
      <c r="J1" s="57"/>
      <c r="K1" s="57"/>
    </row>
    <row r="2" spans="1:11" s="7" customFormat="1" ht="31" customHeight="1" x14ac:dyDescent="0.35">
      <c r="A2" s="10"/>
      <c r="C2" s="47" t="s">
        <v>229</v>
      </c>
      <c r="D2" s="48"/>
      <c r="E2" s="49"/>
      <c r="F2" s="49"/>
      <c r="G2" s="47" t="s">
        <v>49</v>
      </c>
      <c r="K2" s="58"/>
    </row>
    <row r="3" spans="1:11" s="7" customFormat="1" ht="7.05" customHeight="1" x14ac:dyDescent="0.3">
      <c r="A3" s="10"/>
      <c r="C3" s="43"/>
      <c r="D3" s="43"/>
      <c r="G3" s="41"/>
      <c r="K3" s="58"/>
    </row>
    <row r="4" spans="1:11" s="7" customFormat="1" ht="32.25" customHeight="1" thickBot="1" x14ac:dyDescent="0.35">
      <c r="A4" s="10"/>
      <c r="C4" s="24" t="s">
        <v>17</v>
      </c>
      <c r="D4" s="52" t="s">
        <v>379</v>
      </c>
      <c r="E4" s="52" t="s">
        <v>380</v>
      </c>
      <c r="F4" s="51"/>
      <c r="G4" s="24" t="s">
        <v>352</v>
      </c>
      <c r="H4" s="37" t="s">
        <v>50</v>
      </c>
      <c r="I4" s="55"/>
      <c r="J4" s="44"/>
      <c r="K4" s="58"/>
    </row>
    <row r="5" spans="1:11" s="7" customFormat="1" ht="22.05" customHeight="1" thickTop="1" x14ac:dyDescent="0.3">
      <c r="A5" s="10"/>
      <c r="C5" s="30" t="s">
        <v>27</v>
      </c>
      <c r="D5" s="19" t="s">
        <v>39</v>
      </c>
      <c r="E5" s="53" t="s">
        <v>16</v>
      </c>
      <c r="G5" s="30" t="s">
        <v>51</v>
      </c>
      <c r="H5" s="19" t="s">
        <v>52</v>
      </c>
      <c r="I5" s="19"/>
      <c r="J5" s="189"/>
      <c r="K5" s="58"/>
    </row>
    <row r="6" spans="1:11" s="7" customFormat="1" ht="22.05" customHeight="1" x14ac:dyDescent="0.3">
      <c r="A6" s="10"/>
      <c r="C6" s="23" t="s">
        <v>28</v>
      </c>
      <c r="D6" s="13" t="s">
        <v>40</v>
      </c>
      <c r="E6" s="54" t="s">
        <v>18</v>
      </c>
      <c r="G6" s="56" t="s">
        <v>301</v>
      </c>
      <c r="H6" s="13" t="s">
        <v>56</v>
      </c>
      <c r="I6" s="13"/>
      <c r="J6" s="189"/>
      <c r="K6" s="58"/>
    </row>
    <row r="7" spans="1:11" s="7" customFormat="1" ht="22.05" customHeight="1" x14ac:dyDescent="0.3">
      <c r="A7" s="10"/>
      <c r="C7" s="23" t="s">
        <v>29</v>
      </c>
      <c r="D7" s="13" t="s">
        <v>41</v>
      </c>
      <c r="E7" s="54" t="s">
        <v>19</v>
      </c>
      <c r="G7" s="23" t="s">
        <v>53</v>
      </c>
      <c r="H7" s="13" t="s">
        <v>57</v>
      </c>
      <c r="I7" s="13"/>
      <c r="J7" s="189"/>
      <c r="K7" s="58"/>
    </row>
    <row r="8" spans="1:11" s="7" customFormat="1" ht="22.05" customHeight="1" x14ac:dyDescent="0.3">
      <c r="A8" s="10"/>
      <c r="C8" s="23" t="s">
        <v>30</v>
      </c>
      <c r="D8" s="13" t="s">
        <v>42</v>
      </c>
      <c r="E8" s="54" t="s">
        <v>20</v>
      </c>
      <c r="G8" s="23" t="s">
        <v>54</v>
      </c>
      <c r="H8" s="13" t="s">
        <v>58</v>
      </c>
      <c r="I8" s="13"/>
      <c r="K8" s="58"/>
    </row>
    <row r="9" spans="1:11" s="7" customFormat="1" ht="22.05" customHeight="1" x14ac:dyDescent="0.3">
      <c r="A9" s="10"/>
      <c r="C9" s="23" t="s">
        <v>31</v>
      </c>
      <c r="D9" s="13" t="s">
        <v>43</v>
      </c>
      <c r="E9" s="54" t="s">
        <v>21</v>
      </c>
      <c r="G9" s="23" t="s">
        <v>55</v>
      </c>
      <c r="H9" s="13" t="s">
        <v>59</v>
      </c>
      <c r="I9" s="13"/>
      <c r="K9" s="58"/>
    </row>
    <row r="10" spans="1:11" s="7" customFormat="1" ht="22.05" customHeight="1" x14ac:dyDescent="0.3">
      <c r="A10" s="10"/>
      <c r="C10" s="23" t="s">
        <v>32</v>
      </c>
      <c r="D10" s="13" t="s">
        <v>44</v>
      </c>
      <c r="E10" s="54" t="s">
        <v>22</v>
      </c>
      <c r="G10" s="23" t="s">
        <v>166</v>
      </c>
      <c r="H10" s="13" t="s">
        <v>326</v>
      </c>
      <c r="I10" s="13"/>
      <c r="K10" s="58"/>
    </row>
    <row r="11" spans="1:11" s="7" customFormat="1" ht="22.05" customHeight="1" x14ac:dyDescent="0.3">
      <c r="A11" s="10"/>
      <c r="C11" s="23" t="s">
        <v>33</v>
      </c>
      <c r="D11" s="13" t="s">
        <v>45</v>
      </c>
      <c r="E11" s="54" t="s">
        <v>23</v>
      </c>
      <c r="G11" s="56" t="s">
        <v>304</v>
      </c>
      <c r="H11" s="13" t="s">
        <v>305</v>
      </c>
      <c r="I11" s="13"/>
      <c r="J11" s="50"/>
      <c r="K11" s="58"/>
    </row>
    <row r="12" spans="1:11" s="7" customFormat="1" ht="22.05" customHeight="1" x14ac:dyDescent="0.3">
      <c r="A12" s="10"/>
      <c r="C12" s="23" t="s">
        <v>34</v>
      </c>
      <c r="D12" s="13" t="s">
        <v>46</v>
      </c>
      <c r="E12" s="54" t="s">
        <v>24</v>
      </c>
      <c r="K12" s="10"/>
    </row>
    <row r="13" spans="1:11" s="7" customFormat="1" ht="22.05" customHeight="1" x14ac:dyDescent="0.3">
      <c r="A13" s="10"/>
      <c r="C13" s="23" t="s">
        <v>204</v>
      </c>
      <c r="D13" s="13" t="s">
        <v>285</v>
      </c>
      <c r="E13" s="54" t="s">
        <v>203</v>
      </c>
      <c r="K13" s="10"/>
    </row>
    <row r="14" spans="1:11" s="7" customFormat="1" ht="22.05" customHeight="1" x14ac:dyDescent="0.3">
      <c r="A14" s="10"/>
      <c r="C14" s="23" t="s">
        <v>35</v>
      </c>
      <c r="D14" s="13" t="s">
        <v>47</v>
      </c>
      <c r="E14" s="54" t="s">
        <v>25</v>
      </c>
      <c r="K14" s="10"/>
    </row>
    <row r="15" spans="1:11" s="7" customFormat="1" ht="22.05" customHeight="1" x14ac:dyDescent="0.3">
      <c r="A15" s="10"/>
      <c r="C15" s="23" t="s">
        <v>208</v>
      </c>
      <c r="D15" s="13" t="s">
        <v>286</v>
      </c>
      <c r="E15" s="54" t="s">
        <v>205</v>
      </c>
      <c r="K15" s="10"/>
    </row>
    <row r="16" spans="1:11" s="7" customFormat="1" ht="22.05" customHeight="1" x14ac:dyDescent="0.3">
      <c r="A16" s="10"/>
      <c r="C16" s="23" t="s">
        <v>209</v>
      </c>
      <c r="D16" s="13" t="s">
        <v>287</v>
      </c>
      <c r="E16" s="54" t="s">
        <v>206</v>
      </c>
      <c r="K16" s="10"/>
    </row>
    <row r="17" spans="1:11" s="7" customFormat="1" ht="22.05" customHeight="1" x14ac:dyDescent="0.3">
      <c r="A17" s="10"/>
      <c r="C17" s="23" t="s">
        <v>210</v>
      </c>
      <c r="D17" s="13" t="s">
        <v>288</v>
      </c>
      <c r="E17" s="54" t="s">
        <v>207</v>
      </c>
      <c r="K17" s="10"/>
    </row>
    <row r="18" spans="1:11" s="7" customFormat="1" ht="22.05" customHeight="1" x14ac:dyDescent="0.3">
      <c r="A18" s="10"/>
      <c r="C18" s="23" t="s">
        <v>36</v>
      </c>
      <c r="D18" s="13" t="s">
        <v>48</v>
      </c>
      <c r="E18" s="54" t="s">
        <v>26</v>
      </c>
      <c r="G18" s="42"/>
      <c r="K18" s="10"/>
    </row>
    <row r="19" spans="1:11" s="7" customFormat="1" ht="22.05" customHeight="1" x14ac:dyDescent="0.3">
      <c r="A19" s="10"/>
      <c r="D19" s="45"/>
      <c r="G19" s="42"/>
      <c r="K19" s="10"/>
    </row>
    <row r="20" spans="1:11" ht="8.1" customHeight="1" x14ac:dyDescent="0.35">
      <c r="A20" s="57"/>
      <c r="B20" s="57"/>
      <c r="C20" s="57"/>
      <c r="D20" s="57"/>
      <c r="E20" s="57"/>
      <c r="F20" s="57"/>
      <c r="G20" s="57"/>
      <c r="H20" s="57"/>
      <c r="I20" s="57"/>
      <c r="J20" s="57"/>
      <c r="K20" s="57"/>
    </row>
  </sheetData>
  <sheetProtection algorithmName="SHA-512" hashValue="6Wpe73qr5sv/Ln1yGXGdqaUaneB2YkYdMbDE3FF4qih3TLFjRN2h62xYYD6HLx2P8/yLlpnkWrq/KeIBwQddYA==" saltValue="We1FlrRKldw2aQ3UGoax1g==" spinCount="100000" sheet="1" objects="1" scenarios="1"/>
  <mergeCells count="1">
    <mergeCell ref="J5:J7"/>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9"/>
  <sheetViews>
    <sheetView showGridLines="0" zoomScaleNormal="100" workbookViewId="0">
      <selection activeCell="C6" sqref="C6:I6"/>
    </sheetView>
  </sheetViews>
  <sheetFormatPr defaultColWidth="10.81640625" defaultRowHeight="20.05" customHeight="1" x14ac:dyDescent="0.3"/>
  <cols>
    <col min="1" max="1" width="8.6328125" style="7" customWidth="1"/>
    <col min="2" max="2" width="3.6328125" style="7" customWidth="1"/>
    <col min="3" max="3" width="3.1796875" style="7" customWidth="1"/>
    <col min="4" max="4" width="21.81640625" style="7" bestFit="1" customWidth="1"/>
    <col min="5" max="5" width="10.81640625" style="7"/>
    <col min="6" max="19" width="7.6328125" style="7" customWidth="1"/>
    <col min="20" max="20" width="3.6328125" style="7" customWidth="1"/>
    <col min="21" max="21" width="8.6328125" style="7" customWidth="1"/>
    <col min="22" max="16384" width="10.81640625" style="7"/>
  </cols>
  <sheetData>
    <row r="1" spans="1:21" ht="8.1" customHeight="1" x14ac:dyDescent="0.3">
      <c r="A1" s="10"/>
      <c r="B1" s="10"/>
      <c r="C1" s="10"/>
      <c r="D1" s="10"/>
      <c r="E1" s="10"/>
      <c r="F1" s="10"/>
      <c r="G1" s="10"/>
      <c r="H1" s="10"/>
      <c r="I1" s="10"/>
      <c r="J1" s="10"/>
      <c r="K1" s="10"/>
      <c r="L1" s="10"/>
      <c r="M1" s="10"/>
      <c r="N1" s="10"/>
      <c r="O1" s="10"/>
      <c r="P1" s="10"/>
      <c r="Q1" s="10"/>
      <c r="R1" s="10"/>
      <c r="S1" s="10"/>
      <c r="T1" s="10"/>
      <c r="U1" s="10"/>
    </row>
    <row r="2" spans="1:21" ht="31" customHeight="1" x14ac:dyDescent="0.35">
      <c r="A2" s="10"/>
      <c r="C2" s="47" t="s">
        <v>100</v>
      </c>
      <c r="D2" s="115"/>
      <c r="E2" s="115"/>
      <c r="F2" s="115"/>
      <c r="G2" s="115"/>
      <c r="H2" s="115"/>
      <c r="I2" s="115"/>
      <c r="J2" s="115"/>
      <c r="K2" s="115"/>
      <c r="L2" s="115"/>
      <c r="M2" s="115"/>
      <c r="N2" s="115"/>
      <c r="U2" s="10"/>
    </row>
    <row r="3" spans="1:21" ht="15" customHeight="1" x14ac:dyDescent="0.3">
      <c r="A3" s="10"/>
      <c r="C3" s="115" t="s">
        <v>314</v>
      </c>
      <c r="D3" s="115"/>
      <c r="E3" s="115"/>
      <c r="F3" s="115"/>
      <c r="G3" s="115"/>
      <c r="H3" s="115"/>
      <c r="I3" s="115"/>
      <c r="J3" s="115"/>
      <c r="K3" s="115"/>
      <c r="L3" s="115"/>
      <c r="M3" s="115"/>
      <c r="N3" s="115"/>
      <c r="U3" s="10"/>
    </row>
    <row r="4" spans="1:21" ht="15" customHeight="1" x14ac:dyDescent="0.3">
      <c r="A4" s="10"/>
      <c r="C4" s="115" t="s">
        <v>306</v>
      </c>
      <c r="D4" s="115"/>
      <c r="E4" s="115"/>
      <c r="F4" s="115"/>
      <c r="G4" s="115"/>
      <c r="H4" s="115"/>
      <c r="I4" s="115"/>
      <c r="J4" s="115"/>
      <c r="K4" s="115"/>
      <c r="L4" s="115"/>
      <c r="M4" s="115"/>
      <c r="N4" s="115"/>
      <c r="U4" s="10"/>
    </row>
    <row r="5" spans="1:21" ht="15" customHeight="1" x14ac:dyDescent="0.3">
      <c r="A5" s="10"/>
      <c r="C5" s="115" t="s">
        <v>340</v>
      </c>
      <c r="D5" s="115"/>
      <c r="E5" s="115"/>
      <c r="F5" s="115"/>
      <c r="G5" s="115"/>
      <c r="H5" s="115"/>
      <c r="I5" s="115"/>
      <c r="J5" s="115"/>
      <c r="K5" s="115"/>
      <c r="L5" s="115"/>
      <c r="M5" s="115"/>
      <c r="N5" s="115"/>
      <c r="U5" s="10"/>
    </row>
    <row r="6" spans="1:21" ht="15" customHeight="1" x14ac:dyDescent="0.3">
      <c r="A6" s="10"/>
      <c r="C6" s="194" t="s">
        <v>349</v>
      </c>
      <c r="D6" s="194"/>
      <c r="E6" s="194"/>
      <c r="F6" s="194"/>
      <c r="G6" s="194"/>
      <c r="H6" s="194"/>
      <c r="I6" s="194"/>
      <c r="J6" s="115"/>
      <c r="K6" s="115"/>
      <c r="L6" s="115"/>
      <c r="M6" s="115"/>
      <c r="N6" s="115"/>
      <c r="U6" s="10"/>
    </row>
    <row r="7" spans="1:21" ht="11.55" customHeight="1" x14ac:dyDescent="0.3">
      <c r="A7" s="10"/>
      <c r="I7" s="118"/>
      <c r="U7" s="10"/>
    </row>
    <row r="8" spans="1:21" s="133" customFormat="1" ht="20.05" customHeight="1" thickBot="1" x14ac:dyDescent="0.4">
      <c r="A8" s="132"/>
      <c r="C8" s="39"/>
      <c r="D8" s="39" t="s">
        <v>81</v>
      </c>
      <c r="E8" s="39" t="s">
        <v>67</v>
      </c>
      <c r="F8" s="134" t="s">
        <v>16</v>
      </c>
      <c r="G8" s="134" t="s">
        <v>18</v>
      </c>
      <c r="H8" s="134" t="s">
        <v>19</v>
      </c>
      <c r="I8" s="134" t="s">
        <v>20</v>
      </c>
      <c r="J8" s="134" t="s">
        <v>21</v>
      </c>
      <c r="K8" s="134" t="s">
        <v>22</v>
      </c>
      <c r="L8" s="134" t="s">
        <v>23</v>
      </c>
      <c r="M8" s="134" t="s">
        <v>24</v>
      </c>
      <c r="N8" s="134" t="s">
        <v>203</v>
      </c>
      <c r="O8" s="134" t="s">
        <v>25</v>
      </c>
      <c r="P8" s="134" t="s">
        <v>26</v>
      </c>
      <c r="Q8" s="134" t="s">
        <v>205</v>
      </c>
      <c r="R8" s="134" t="s">
        <v>206</v>
      </c>
      <c r="S8" s="134" t="s">
        <v>207</v>
      </c>
      <c r="U8" s="132"/>
    </row>
    <row r="9" spans="1:21" ht="20.05" customHeight="1" thickTop="1" x14ac:dyDescent="0.3">
      <c r="A9" s="10"/>
      <c r="C9" s="190" t="s">
        <v>315</v>
      </c>
      <c r="D9" s="18" t="s">
        <v>82</v>
      </c>
      <c r="E9" s="19" t="s">
        <v>295</v>
      </c>
      <c r="F9" s="19">
        <v>220</v>
      </c>
      <c r="G9" s="19">
        <v>180</v>
      </c>
      <c r="H9" s="19">
        <v>170</v>
      </c>
      <c r="I9" s="19">
        <v>140</v>
      </c>
      <c r="J9" s="19">
        <v>0</v>
      </c>
      <c r="K9" s="19">
        <v>0</v>
      </c>
      <c r="L9" s="19">
        <v>220</v>
      </c>
      <c r="M9" s="19">
        <v>190</v>
      </c>
      <c r="N9" s="19">
        <v>120</v>
      </c>
      <c r="O9" s="19">
        <v>100</v>
      </c>
      <c r="P9" s="19">
        <v>0</v>
      </c>
      <c r="Q9" s="19">
        <v>80</v>
      </c>
      <c r="R9" s="19">
        <v>80</v>
      </c>
      <c r="S9" s="19">
        <v>0</v>
      </c>
      <c r="U9" s="10"/>
    </row>
    <row r="10" spans="1:21" ht="20.05" customHeight="1" x14ac:dyDescent="0.3">
      <c r="A10" s="10"/>
      <c r="C10" s="190"/>
      <c r="D10" s="12" t="s">
        <v>84</v>
      </c>
      <c r="E10" s="13" t="s">
        <v>294</v>
      </c>
      <c r="F10" s="13">
        <v>95</v>
      </c>
      <c r="G10" s="13">
        <v>80</v>
      </c>
      <c r="H10" s="13">
        <v>95</v>
      </c>
      <c r="I10" s="13">
        <v>80</v>
      </c>
      <c r="J10" s="13">
        <v>70</v>
      </c>
      <c r="K10" s="13">
        <v>70</v>
      </c>
      <c r="L10" s="13">
        <v>210</v>
      </c>
      <c r="M10" s="13">
        <v>80</v>
      </c>
      <c r="N10" s="13">
        <v>60</v>
      </c>
      <c r="O10" s="13">
        <v>80</v>
      </c>
      <c r="P10" s="13">
        <v>0</v>
      </c>
      <c r="Q10" s="13">
        <v>60</v>
      </c>
      <c r="R10" s="13">
        <v>60</v>
      </c>
      <c r="S10" s="13">
        <v>70</v>
      </c>
      <c r="U10" s="10"/>
    </row>
    <row r="11" spans="1:21" ht="20.05" customHeight="1" x14ac:dyDescent="0.3">
      <c r="A11" s="10"/>
      <c r="C11" s="190"/>
      <c r="D11" s="12" t="s">
        <v>85</v>
      </c>
      <c r="E11" s="13" t="s">
        <v>293</v>
      </c>
      <c r="F11" s="13">
        <v>115</v>
      </c>
      <c r="G11" s="13">
        <v>100</v>
      </c>
      <c r="H11" s="13">
        <v>115</v>
      </c>
      <c r="I11" s="13">
        <v>100</v>
      </c>
      <c r="J11" s="13">
        <v>70</v>
      </c>
      <c r="K11" s="13">
        <v>70</v>
      </c>
      <c r="L11" s="13">
        <v>330</v>
      </c>
      <c r="M11" s="13">
        <v>70</v>
      </c>
      <c r="N11" s="13">
        <v>50</v>
      </c>
      <c r="O11" s="13">
        <v>130</v>
      </c>
      <c r="P11" s="13">
        <v>0</v>
      </c>
      <c r="Q11" s="13">
        <v>50</v>
      </c>
      <c r="R11" s="13">
        <v>50</v>
      </c>
      <c r="S11" s="13">
        <v>70</v>
      </c>
      <c r="U11" s="10"/>
    </row>
    <row r="12" spans="1:21" ht="20.05" customHeight="1" x14ac:dyDescent="0.3">
      <c r="A12" s="10"/>
      <c r="C12" s="190"/>
      <c r="D12" s="12" t="s">
        <v>86</v>
      </c>
      <c r="E12" s="13" t="s">
        <v>87</v>
      </c>
      <c r="F12" s="14">
        <v>0.8</v>
      </c>
      <c r="G12" s="14">
        <v>0.8</v>
      </c>
      <c r="H12" s="14">
        <v>0.8</v>
      </c>
      <c r="I12" s="14">
        <v>0.8</v>
      </c>
      <c r="J12" s="14">
        <v>0.8</v>
      </c>
      <c r="K12" s="14">
        <v>0.8</v>
      </c>
      <c r="L12" s="14">
        <v>0.8</v>
      </c>
      <c r="M12" s="14">
        <v>0.8</v>
      </c>
      <c r="N12" s="14">
        <v>0.8</v>
      </c>
      <c r="O12" s="14">
        <v>0.8</v>
      </c>
      <c r="P12" s="13">
        <v>0</v>
      </c>
      <c r="Q12" s="14">
        <v>0.8</v>
      </c>
      <c r="R12" s="14">
        <v>0.8</v>
      </c>
      <c r="S12" s="14">
        <v>0.8</v>
      </c>
      <c r="U12" s="10"/>
    </row>
    <row r="13" spans="1:21" ht="20.05" customHeight="1" x14ac:dyDescent="0.3">
      <c r="A13" s="10"/>
      <c r="C13" s="190"/>
      <c r="D13" s="12" t="s">
        <v>88</v>
      </c>
      <c r="E13" s="13" t="s">
        <v>87</v>
      </c>
      <c r="F13" s="14">
        <v>0.63</v>
      </c>
      <c r="G13" s="14">
        <v>0.63</v>
      </c>
      <c r="H13" s="14">
        <v>0.63</v>
      </c>
      <c r="I13" s="14">
        <v>0.63</v>
      </c>
      <c r="J13" s="14">
        <v>0.63</v>
      </c>
      <c r="K13" s="14">
        <v>0.63</v>
      </c>
      <c r="L13" s="14">
        <v>0.63</v>
      </c>
      <c r="M13" s="14">
        <v>0.63</v>
      </c>
      <c r="N13" s="14">
        <v>0.63</v>
      </c>
      <c r="O13" s="14">
        <v>0.63</v>
      </c>
      <c r="P13" s="13">
        <v>0</v>
      </c>
      <c r="Q13" s="14">
        <v>0.63</v>
      </c>
      <c r="R13" s="14">
        <v>0.63</v>
      </c>
      <c r="S13" s="14">
        <v>0.63</v>
      </c>
      <c r="U13" s="10"/>
    </row>
    <row r="14" spans="1:21" ht="20.05" customHeight="1" x14ac:dyDescent="0.3">
      <c r="A14" s="10"/>
      <c r="C14" s="190"/>
      <c r="D14" s="12" t="s">
        <v>89</v>
      </c>
      <c r="E14" s="13" t="s">
        <v>87</v>
      </c>
      <c r="F14" s="13">
        <v>0.47</v>
      </c>
      <c r="G14" s="13">
        <v>0.47</v>
      </c>
      <c r="H14" s="13">
        <v>0.47</v>
      </c>
      <c r="I14" s="13">
        <v>0.47</v>
      </c>
      <c r="J14" s="13">
        <v>0.47</v>
      </c>
      <c r="K14" s="13">
        <v>0.47</v>
      </c>
      <c r="L14" s="13">
        <v>0.47</v>
      </c>
      <c r="M14" s="13">
        <v>0.47</v>
      </c>
      <c r="N14" s="13">
        <v>0.47</v>
      </c>
      <c r="O14" s="13">
        <v>0.47</v>
      </c>
      <c r="P14" s="13">
        <v>0</v>
      </c>
      <c r="Q14" s="13">
        <v>0.47</v>
      </c>
      <c r="R14" s="13">
        <v>0.47</v>
      </c>
      <c r="S14" s="13">
        <v>0.47</v>
      </c>
      <c r="U14" s="10"/>
    </row>
    <row r="15" spans="1:21" ht="20.05" customHeight="1" x14ac:dyDescent="0.3">
      <c r="A15" s="10"/>
      <c r="C15" s="190"/>
      <c r="D15" s="12" t="s">
        <v>90</v>
      </c>
      <c r="E15" s="13" t="s">
        <v>83</v>
      </c>
      <c r="F15" s="13">
        <v>185</v>
      </c>
      <c r="G15" s="13">
        <v>195</v>
      </c>
      <c r="H15" s="13">
        <v>175</v>
      </c>
      <c r="I15" s="13">
        <v>175</v>
      </c>
      <c r="J15" s="13">
        <v>200</v>
      </c>
      <c r="K15" s="13">
        <v>225</v>
      </c>
      <c r="L15" s="13">
        <v>2800</v>
      </c>
      <c r="M15" s="13">
        <v>7</v>
      </c>
      <c r="N15" s="13">
        <v>6</v>
      </c>
      <c r="O15" s="100">
        <v>1.1499999999999999</v>
      </c>
      <c r="P15" s="13">
        <v>0</v>
      </c>
      <c r="Q15" s="15">
        <v>75</v>
      </c>
      <c r="R15" s="13">
        <v>80</v>
      </c>
      <c r="S15" s="13">
        <v>230</v>
      </c>
      <c r="U15" s="10"/>
    </row>
    <row r="16" spans="1:21" ht="20.05" customHeight="1" x14ac:dyDescent="0.3">
      <c r="A16" s="10"/>
      <c r="C16" s="190"/>
      <c r="D16" s="12" t="s">
        <v>91</v>
      </c>
      <c r="E16" s="13" t="s">
        <v>87</v>
      </c>
      <c r="F16" s="14">
        <v>0.4</v>
      </c>
      <c r="G16" s="14">
        <v>0.38</v>
      </c>
      <c r="H16" s="14">
        <v>0.37</v>
      </c>
      <c r="I16" s="14">
        <v>0.38</v>
      </c>
      <c r="J16" s="14">
        <v>0.41</v>
      </c>
      <c r="K16" s="14">
        <v>0.43</v>
      </c>
      <c r="L16" s="14">
        <v>0.25</v>
      </c>
      <c r="M16" s="14">
        <v>7.37</v>
      </c>
      <c r="N16" s="14">
        <v>7.22</v>
      </c>
      <c r="O16" s="14">
        <v>180</v>
      </c>
      <c r="P16" s="13">
        <v>0</v>
      </c>
      <c r="Q16" s="13">
        <v>2</v>
      </c>
      <c r="R16" s="13">
        <v>1.47</v>
      </c>
      <c r="S16" s="13">
        <v>0.41</v>
      </c>
      <c r="U16" s="10"/>
    </row>
    <row r="17" spans="1:21" ht="20.05" customHeight="1" x14ac:dyDescent="0.3">
      <c r="A17" s="10"/>
      <c r="C17" s="190"/>
      <c r="D17" s="16" t="s">
        <v>486</v>
      </c>
      <c r="E17" s="13" t="s">
        <v>92</v>
      </c>
      <c r="F17" s="13">
        <v>2.5</v>
      </c>
      <c r="G17" s="13">
        <v>2.5</v>
      </c>
      <c r="H17" s="13">
        <v>2.5</v>
      </c>
      <c r="I17" s="13">
        <v>2.5</v>
      </c>
      <c r="J17" s="13">
        <v>2.5</v>
      </c>
      <c r="K17" s="13">
        <v>2.5</v>
      </c>
      <c r="L17" s="13">
        <v>2.5</v>
      </c>
      <c r="M17" s="13">
        <v>2.5</v>
      </c>
      <c r="N17" s="13">
        <v>2.5</v>
      </c>
      <c r="O17" s="13">
        <v>2.5</v>
      </c>
      <c r="P17" s="13">
        <v>2.5</v>
      </c>
      <c r="Q17" s="13">
        <v>2.5</v>
      </c>
      <c r="R17" s="13">
        <v>2.5</v>
      </c>
      <c r="S17" s="13">
        <v>2.5</v>
      </c>
      <c r="U17" s="10"/>
    </row>
    <row r="18" spans="1:21" ht="20.05" customHeight="1" x14ac:dyDescent="0.3">
      <c r="A18" s="10"/>
      <c r="C18" s="190"/>
      <c r="D18" s="16" t="s">
        <v>485</v>
      </c>
      <c r="E18" s="13" t="s">
        <v>70</v>
      </c>
      <c r="F18" s="13">
        <v>19.5</v>
      </c>
      <c r="G18" s="13">
        <v>19.5</v>
      </c>
      <c r="H18" s="13">
        <v>19.5</v>
      </c>
      <c r="I18" s="13">
        <v>19.5</v>
      </c>
      <c r="J18" s="13">
        <v>19.5</v>
      </c>
      <c r="K18" s="13">
        <v>19.5</v>
      </c>
      <c r="L18" s="13">
        <v>19.5</v>
      </c>
      <c r="M18" s="13">
        <v>19.5</v>
      </c>
      <c r="N18" s="13">
        <v>19.5</v>
      </c>
      <c r="O18" s="13">
        <v>19.5</v>
      </c>
      <c r="P18" s="13">
        <v>19.5</v>
      </c>
      <c r="Q18" s="13">
        <v>19.5</v>
      </c>
      <c r="R18" s="13">
        <v>19.5</v>
      </c>
      <c r="S18" s="13">
        <v>19.5</v>
      </c>
      <c r="U18" s="10"/>
    </row>
    <row r="19" spans="1:21" ht="20.05" customHeight="1" x14ac:dyDescent="0.3">
      <c r="A19" s="10"/>
      <c r="C19" s="190"/>
      <c r="D19" s="12" t="s">
        <v>173</v>
      </c>
      <c r="E19" s="13" t="s">
        <v>92</v>
      </c>
      <c r="F19" s="13">
        <v>1.5</v>
      </c>
      <c r="G19" s="13">
        <v>1.5</v>
      </c>
      <c r="H19" s="13">
        <v>1.5</v>
      </c>
      <c r="I19" s="13">
        <v>1.5</v>
      </c>
      <c r="J19" s="13">
        <v>1.5</v>
      </c>
      <c r="K19" s="13">
        <v>1.5</v>
      </c>
      <c r="L19" s="13">
        <v>1.5</v>
      </c>
      <c r="M19" s="13">
        <v>1.5</v>
      </c>
      <c r="N19" s="13">
        <v>1.5</v>
      </c>
      <c r="O19" s="13">
        <v>1.5</v>
      </c>
      <c r="P19" s="13">
        <v>1.5</v>
      </c>
      <c r="Q19" s="13">
        <v>1.5</v>
      </c>
      <c r="R19" s="13">
        <v>1.5</v>
      </c>
      <c r="S19" s="13">
        <v>1.5</v>
      </c>
      <c r="U19" s="10"/>
    </row>
    <row r="20" spans="1:21" ht="20.05" customHeight="1" x14ac:dyDescent="0.3">
      <c r="A20" s="10"/>
      <c r="C20" s="190"/>
      <c r="D20" s="12" t="s">
        <v>174</v>
      </c>
      <c r="E20" s="13" t="s">
        <v>70</v>
      </c>
      <c r="F20" s="13">
        <v>2.4300000000000002</v>
      </c>
      <c r="G20" s="13">
        <v>2.4300000000000002</v>
      </c>
      <c r="H20" s="13">
        <v>2.4300000000000002</v>
      </c>
      <c r="I20" s="13">
        <v>2.4300000000000002</v>
      </c>
      <c r="J20" s="13">
        <v>2.4300000000000002</v>
      </c>
      <c r="K20" s="13">
        <v>2.4300000000000002</v>
      </c>
      <c r="L20" s="13">
        <v>2.4300000000000002</v>
      </c>
      <c r="M20" s="13">
        <v>2.4300000000000002</v>
      </c>
      <c r="N20" s="13">
        <v>2.4300000000000002</v>
      </c>
      <c r="O20" s="13">
        <v>2.4300000000000002</v>
      </c>
      <c r="P20" s="13">
        <v>2.4300000000000002</v>
      </c>
      <c r="Q20" s="13">
        <v>2.4300000000000002</v>
      </c>
      <c r="R20" s="13">
        <v>2.4300000000000002</v>
      </c>
      <c r="S20" s="13">
        <v>2.4300000000000002</v>
      </c>
      <c r="U20" s="10"/>
    </row>
    <row r="21" spans="1:21" ht="20.05" customHeight="1" x14ac:dyDescent="0.3">
      <c r="A21" s="10"/>
      <c r="C21" s="190"/>
      <c r="D21" s="12" t="s">
        <v>93</v>
      </c>
      <c r="E21" s="13" t="s">
        <v>94</v>
      </c>
      <c r="F21" s="17" t="s">
        <v>202</v>
      </c>
      <c r="G21" s="17" t="s">
        <v>202</v>
      </c>
      <c r="H21" s="17" t="s">
        <v>202</v>
      </c>
      <c r="I21" s="17" t="s">
        <v>202</v>
      </c>
      <c r="J21" s="17" t="s">
        <v>202</v>
      </c>
      <c r="K21" s="17" t="s">
        <v>202</v>
      </c>
      <c r="L21" s="17" t="s">
        <v>202</v>
      </c>
      <c r="M21" s="17" t="s">
        <v>202</v>
      </c>
      <c r="N21" s="17"/>
      <c r="O21" s="14">
        <v>5</v>
      </c>
      <c r="P21" s="17" t="s">
        <v>202</v>
      </c>
      <c r="Q21" s="17" t="s">
        <v>202</v>
      </c>
      <c r="R21" s="17" t="s">
        <v>202</v>
      </c>
      <c r="S21" s="17" t="s">
        <v>202</v>
      </c>
      <c r="U21" s="10"/>
    </row>
    <row r="22" spans="1:21" ht="20.05" customHeight="1" thickBot="1" x14ac:dyDescent="0.35">
      <c r="A22" s="10"/>
      <c r="C22" s="191"/>
      <c r="D22" s="121" t="s">
        <v>101</v>
      </c>
      <c r="E22" s="122" t="s">
        <v>75</v>
      </c>
      <c r="F22" s="123">
        <v>134</v>
      </c>
      <c r="G22" s="123">
        <v>84</v>
      </c>
      <c r="H22" s="123">
        <v>93</v>
      </c>
      <c r="I22" s="123">
        <v>71</v>
      </c>
      <c r="J22" s="123">
        <v>89</v>
      </c>
      <c r="K22" s="123">
        <v>70</v>
      </c>
      <c r="L22" s="123">
        <v>1200</v>
      </c>
      <c r="M22" s="123">
        <v>93</v>
      </c>
      <c r="N22" s="123">
        <v>58</v>
      </c>
      <c r="O22" s="123">
        <v>321</v>
      </c>
      <c r="P22" s="122">
        <v>0</v>
      </c>
      <c r="Q22" s="122">
        <v>41</v>
      </c>
      <c r="R22" s="122">
        <v>39</v>
      </c>
      <c r="S22" s="122">
        <v>98</v>
      </c>
      <c r="U22" s="10"/>
    </row>
    <row r="23" spans="1:21" ht="20.05" customHeight="1" thickTop="1" x14ac:dyDescent="0.3">
      <c r="A23" s="10"/>
      <c r="C23" s="192" t="s">
        <v>316</v>
      </c>
      <c r="D23" s="18" t="s">
        <v>95</v>
      </c>
      <c r="E23" s="19" t="s">
        <v>96</v>
      </c>
      <c r="F23" s="120">
        <f>IFERROR((11.841-(9.211*(0.9907^(F9)))-(0.0075*(F9)))*(0.743+0.1714*('Soil Index &amp; Farm Data'!$M$5))*0.947,0)</f>
        <v>9.9978000926824588</v>
      </c>
      <c r="G23" s="120">
        <f>IFERROR((5.885-(2.893*(0.984^(G9))))*(0.73+0.18*('Soil Index &amp; Farm Data'!$M$5)),0)</f>
        <v>6.7570817598351915</v>
      </c>
      <c r="H23" s="120">
        <f>IFERROR((((12.967-(10.029*(0.993^(H9)))-(0.0147*(H9)))*(0.76+0.16*('Soil Index &amp; Farm Data'!$M$5)))*0.89),0)</f>
        <v>7.6704278999468229</v>
      </c>
      <c r="I23" s="120">
        <f>IFERROR(((19.98-(18.164*(0.9952^(I9)))-(0.0364*(I9)))*(0.887+0.075*('Soil Index &amp; Farm Data'!$M$5)))*1.02,0)</f>
        <v>6.1626340354615694</v>
      </c>
      <c r="J23" s="120">
        <f>IFERROR((((0.95+1.3625*('Soil Index &amp; Farm Data'!$M$5))*1.1)*1.05),0)</f>
        <v>5.031468750000001</v>
      </c>
      <c r="K23" s="120">
        <f>IFERROR(((0.7+1.25*('Soil Index &amp; Farm Data'!$M$5))*1.05)*1.2,0)</f>
        <v>4.8195000000000006</v>
      </c>
      <c r="L23" s="120">
        <f>IFERROR((44.507-(29.135*(0.992^L9)))*1.16,0)</f>
        <v>45.854597195176169</v>
      </c>
      <c r="M23" s="120">
        <f>IFERROR(((3.35+(-0.623*(0.01^(M9)))-0.000324*(M9))*(0.655+0.23*('Soil Index &amp; Farm Data'!$M$5)))*0.87,0)</f>
        <v>3.5189596440000002</v>
      </c>
      <c r="N23" s="120">
        <f>(2.317-(1.139*(0.984^(N9))))</f>
        <v>2.1525872339694678</v>
      </c>
      <c r="O23" s="120">
        <f>IFERROR((((54.543-(0.05*37.82*(0.984^(O9)))))*1.3),0)</f>
        <v>70.415957939548107</v>
      </c>
      <c r="P23" s="19">
        <v>0</v>
      </c>
      <c r="Q23" s="120">
        <f>0.75+0.45*1.5*('Soil Index &amp; Farm Data'!$M$5)</f>
        <v>2.4375</v>
      </c>
      <c r="R23" s="120">
        <f>((0.75+0.45*1.5*('Soil Index &amp; Farm Data'!$M$5))*0.8)</f>
        <v>1.9500000000000002</v>
      </c>
      <c r="S23" s="120">
        <f>(2.48+3.475*('Soil Index &amp; Farm Data'!$M$5)-(1.2875*('Soil Index &amp; Farm Data'!$M$5)^2))</f>
        <v>3.1206250000000004</v>
      </c>
      <c r="U23" s="10"/>
    </row>
    <row r="24" spans="1:21" ht="20.05" customHeight="1" x14ac:dyDescent="0.3">
      <c r="A24" s="10"/>
      <c r="C24" s="190"/>
      <c r="D24" s="12" t="s">
        <v>97</v>
      </c>
      <c r="E24" s="13" t="s">
        <v>94</v>
      </c>
      <c r="F24" s="15">
        <v>164</v>
      </c>
      <c r="G24" s="15">
        <v>172</v>
      </c>
      <c r="H24" s="15">
        <v>153</v>
      </c>
      <c r="I24" s="15">
        <v>170</v>
      </c>
      <c r="J24" s="15">
        <v>212</v>
      </c>
      <c r="K24" s="15">
        <v>212</v>
      </c>
      <c r="L24" s="15">
        <v>160</v>
      </c>
      <c r="M24" s="15">
        <v>340</v>
      </c>
      <c r="N24" s="15">
        <v>340</v>
      </c>
      <c r="O24" s="15">
        <v>35</v>
      </c>
      <c r="P24" s="15">
        <v>0</v>
      </c>
      <c r="Q24" s="13">
        <v>375</v>
      </c>
      <c r="R24" s="13">
        <v>375</v>
      </c>
      <c r="S24" s="13">
        <v>210</v>
      </c>
      <c r="U24" s="10"/>
    </row>
    <row r="25" spans="1:21" ht="20.05" customHeight="1" x14ac:dyDescent="0.3">
      <c r="A25" s="10"/>
      <c r="C25" s="190"/>
      <c r="D25" s="12" t="s">
        <v>98</v>
      </c>
      <c r="E25" s="13" t="s">
        <v>96</v>
      </c>
      <c r="F25" s="14">
        <f>F23*0.5</f>
        <v>4.9989000463412294</v>
      </c>
      <c r="G25" s="14">
        <f t="shared" ref="G25:I25" si="0">G23*0.5</f>
        <v>3.3785408799175958</v>
      </c>
      <c r="H25" s="14">
        <f t="shared" si="0"/>
        <v>3.8352139499734115</v>
      </c>
      <c r="I25" s="14">
        <f t="shared" si="0"/>
        <v>3.0813170177307847</v>
      </c>
      <c r="J25" s="17" t="s">
        <v>202</v>
      </c>
      <c r="K25" s="17" t="s">
        <v>202</v>
      </c>
      <c r="L25" s="17" t="s">
        <v>202</v>
      </c>
      <c r="M25" s="17" t="s">
        <v>202</v>
      </c>
      <c r="N25" s="17" t="s">
        <v>202</v>
      </c>
      <c r="O25" s="17" t="s">
        <v>202</v>
      </c>
      <c r="P25" s="17" t="s">
        <v>202</v>
      </c>
      <c r="Q25" s="17" t="s">
        <v>202</v>
      </c>
      <c r="R25" s="17" t="s">
        <v>202</v>
      </c>
      <c r="S25" s="17" t="s">
        <v>202</v>
      </c>
      <c r="U25" s="10"/>
    </row>
    <row r="26" spans="1:21" ht="20.05" customHeight="1" x14ac:dyDescent="0.3">
      <c r="A26" s="10"/>
      <c r="C26" s="190"/>
      <c r="D26" s="12" t="s">
        <v>99</v>
      </c>
      <c r="E26" s="13" t="s">
        <v>94</v>
      </c>
      <c r="F26" s="13">
        <v>60</v>
      </c>
      <c r="G26" s="13">
        <v>60</v>
      </c>
      <c r="H26" s="13">
        <v>60</v>
      </c>
      <c r="I26" s="13">
        <v>60</v>
      </c>
      <c r="J26" s="17" t="s">
        <v>202</v>
      </c>
      <c r="K26" s="17" t="s">
        <v>202</v>
      </c>
      <c r="L26" s="17" t="s">
        <v>202</v>
      </c>
      <c r="M26" s="17" t="s">
        <v>202</v>
      </c>
      <c r="N26" s="17" t="s">
        <v>202</v>
      </c>
      <c r="O26" s="17" t="s">
        <v>202</v>
      </c>
      <c r="P26" s="17" t="s">
        <v>202</v>
      </c>
      <c r="Q26" s="17" t="s">
        <v>202</v>
      </c>
      <c r="R26" s="17" t="s">
        <v>202</v>
      </c>
      <c r="S26" s="17" t="s">
        <v>202</v>
      </c>
      <c r="U26" s="10"/>
    </row>
    <row r="27" spans="1:21" ht="20.05" customHeight="1" x14ac:dyDescent="0.3">
      <c r="A27" s="10"/>
      <c r="C27" s="193"/>
      <c r="D27" s="12" t="s">
        <v>74</v>
      </c>
      <c r="E27" s="13" t="s">
        <v>75</v>
      </c>
      <c r="F27" s="13">
        <f>'Soil Index &amp; Farm Data'!$M$8</f>
        <v>207</v>
      </c>
      <c r="G27" s="13">
        <f>'Soil Index &amp; Farm Data'!$M$8</f>
        <v>207</v>
      </c>
      <c r="H27" s="13">
        <f>'Soil Index &amp; Farm Data'!$M$8</f>
        <v>207</v>
      </c>
      <c r="I27" s="13">
        <f>'Soil Index &amp; Farm Data'!$M$8</f>
        <v>207</v>
      </c>
      <c r="J27" s="13">
        <f>'Soil Index &amp; Farm Data'!$M$8</f>
        <v>207</v>
      </c>
      <c r="K27" s="13">
        <f>'Soil Index &amp; Farm Data'!$M$8</f>
        <v>207</v>
      </c>
      <c r="L27" s="13">
        <f>'Soil Index &amp; Farm Data'!$M$8</f>
        <v>207</v>
      </c>
      <c r="M27" s="13">
        <f>'Soil Index &amp; Farm Data'!$M$8</f>
        <v>207</v>
      </c>
      <c r="N27" s="13">
        <f>'Soil Index &amp; Farm Data'!$M$8</f>
        <v>207</v>
      </c>
      <c r="O27" s="13">
        <f>'Soil Index &amp; Farm Data'!$M$8</f>
        <v>207</v>
      </c>
      <c r="P27" s="13">
        <f>'Soil Index &amp; Farm Data'!$M$8</f>
        <v>207</v>
      </c>
      <c r="Q27" s="13">
        <f>'Soil Index &amp; Farm Data'!$M$8</f>
        <v>207</v>
      </c>
      <c r="R27" s="13">
        <f>'Soil Index &amp; Farm Data'!$M$8</f>
        <v>207</v>
      </c>
      <c r="S27" s="13">
        <f>'Soil Index &amp; Farm Data'!$M$8</f>
        <v>207</v>
      </c>
      <c r="U27" s="10"/>
    </row>
    <row r="28" spans="1:21" ht="20.05" customHeight="1" x14ac:dyDescent="0.3">
      <c r="A28" s="10"/>
      <c r="F28" s="119"/>
      <c r="U28" s="10"/>
    </row>
    <row r="29" spans="1:21" ht="8.1" customHeight="1" x14ac:dyDescent="0.3">
      <c r="A29" s="10"/>
      <c r="B29" s="10"/>
      <c r="C29" s="10"/>
      <c r="D29" s="10"/>
      <c r="E29" s="10"/>
      <c r="F29" s="10"/>
      <c r="G29" s="10"/>
      <c r="H29" s="10"/>
      <c r="I29" s="10"/>
      <c r="J29" s="10"/>
      <c r="K29" s="10"/>
      <c r="L29" s="10"/>
      <c r="M29" s="10"/>
      <c r="N29" s="10"/>
      <c r="O29" s="10"/>
      <c r="P29" s="10"/>
      <c r="Q29" s="10"/>
      <c r="R29" s="10"/>
      <c r="S29" s="10"/>
      <c r="T29" s="10"/>
      <c r="U29" s="10"/>
    </row>
  </sheetData>
  <sheetProtection algorithmName="SHA-512" hashValue="GYYTxSj1Z8TKbtl4JZBDgg6aRsYRvJnxHFI/MM7jAxcOD2oeHUCqPbE4qY7U5jMDfJOhZa0ZD+CPtDTdZoPlFw==" saltValue="inu5VZmDunCLdRudMnSVQg==" spinCount="100000" sheet="1" objects="1" scenarios="1"/>
  <mergeCells count="3">
    <mergeCell ref="C9:C22"/>
    <mergeCell ref="C23:C27"/>
    <mergeCell ref="C6:I6"/>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8"/>
  <sheetViews>
    <sheetView showGridLines="0" workbookViewId="0">
      <selection activeCell="C50" sqref="C50"/>
    </sheetView>
  </sheetViews>
  <sheetFormatPr defaultColWidth="10.81640625" defaultRowHeight="18" customHeight="1" x14ac:dyDescent="0.35"/>
  <cols>
    <col min="1" max="1" width="8.6328125" style="46" customWidth="1"/>
    <col min="2" max="2" width="3.6328125" style="46" customWidth="1"/>
    <col min="3" max="3" width="18.1796875" style="46" customWidth="1"/>
    <col min="4" max="5" width="12.453125" style="125" bestFit="1" customWidth="1"/>
    <col min="6" max="9" width="12.90625" style="125" bestFit="1" customWidth="1"/>
    <col min="10" max="10" width="3.6328125" style="46" customWidth="1"/>
    <col min="11" max="11" width="8.6328125" style="46" customWidth="1"/>
    <col min="12" max="16384" width="10.81640625" style="46"/>
  </cols>
  <sheetData>
    <row r="1" spans="1:12" ht="8.1" customHeight="1" x14ac:dyDescent="0.35">
      <c r="A1" s="26"/>
      <c r="B1" s="26"/>
      <c r="C1" s="26"/>
      <c r="D1" s="28"/>
      <c r="E1" s="28"/>
      <c r="F1" s="28"/>
      <c r="G1" s="28"/>
      <c r="H1" s="28"/>
      <c r="I1" s="28"/>
      <c r="J1" s="26"/>
      <c r="K1" s="26"/>
    </row>
    <row r="2" spans="1:12" s="7" customFormat="1" ht="31" customHeight="1" x14ac:dyDescent="0.35">
      <c r="A2" s="10"/>
      <c r="C2" s="47" t="s">
        <v>317</v>
      </c>
      <c r="D2" s="115"/>
      <c r="E2" s="115"/>
      <c r="F2" s="115"/>
      <c r="G2" s="115"/>
      <c r="H2" s="115"/>
      <c r="I2" s="115"/>
      <c r="K2" s="10"/>
    </row>
    <row r="3" spans="1:12" ht="15" customHeight="1" x14ac:dyDescent="0.35">
      <c r="A3" s="26"/>
      <c r="C3" s="195" t="s">
        <v>319</v>
      </c>
      <c r="D3" s="195"/>
      <c r="E3" s="195"/>
      <c r="F3" s="195"/>
      <c r="G3" s="195"/>
      <c r="H3" s="195"/>
      <c r="I3" s="195"/>
      <c r="K3" s="26"/>
    </row>
    <row r="4" spans="1:12" ht="15" customHeight="1" x14ac:dyDescent="0.35">
      <c r="A4" s="26"/>
      <c r="C4" s="195"/>
      <c r="D4" s="195"/>
      <c r="E4" s="195"/>
      <c r="F4" s="195"/>
      <c r="G4" s="195"/>
      <c r="H4" s="195"/>
      <c r="I4" s="195"/>
      <c r="K4" s="26"/>
    </row>
    <row r="5" spans="1:12" ht="15" customHeight="1" x14ac:dyDescent="0.35">
      <c r="A5" s="26"/>
      <c r="C5" s="194" t="s">
        <v>318</v>
      </c>
      <c r="D5" s="194"/>
      <c r="E5" s="126"/>
      <c r="F5" s="126"/>
      <c r="G5" s="127"/>
      <c r="H5" s="128"/>
      <c r="I5" s="126"/>
      <c r="J5" s="129"/>
      <c r="K5" s="26"/>
    </row>
    <row r="6" spans="1:12" ht="15" customHeight="1" x14ac:dyDescent="0.35">
      <c r="A6" s="26"/>
      <c r="C6" s="194"/>
      <c r="D6" s="194"/>
      <c r="E6" s="126"/>
      <c r="F6" s="126"/>
      <c r="G6" s="127"/>
      <c r="H6" s="127"/>
      <c r="I6" s="127"/>
      <c r="J6" s="130"/>
      <c r="K6" s="27"/>
      <c r="L6" s="130"/>
    </row>
    <row r="7" spans="1:12" ht="15" customHeight="1" x14ac:dyDescent="0.35">
      <c r="A7" s="26"/>
      <c r="C7" s="115" t="s">
        <v>307</v>
      </c>
      <c r="D7" s="128"/>
      <c r="E7" s="128"/>
      <c r="F7" s="128"/>
      <c r="G7" s="128"/>
      <c r="H7" s="127"/>
      <c r="I7" s="127"/>
      <c r="J7" s="130"/>
      <c r="K7" s="27"/>
      <c r="L7" s="130"/>
    </row>
    <row r="8" spans="1:12" ht="22.05" customHeight="1" x14ac:dyDescent="0.35">
      <c r="A8" s="26"/>
      <c r="K8" s="26"/>
    </row>
    <row r="9" spans="1:12" s="131" customFormat="1" ht="22.05" customHeight="1" thickBot="1" x14ac:dyDescent="0.4">
      <c r="A9" s="40"/>
      <c r="C9" s="38" t="s">
        <v>279</v>
      </c>
      <c r="D9" s="196" t="s">
        <v>68</v>
      </c>
      <c r="E9" s="196"/>
      <c r="F9" s="196"/>
      <c r="G9" s="196"/>
      <c r="H9" s="196"/>
      <c r="I9" s="197"/>
      <c r="K9" s="40"/>
    </row>
    <row r="10" spans="1:12" ht="22.05" customHeight="1" thickTop="1" x14ac:dyDescent="0.35">
      <c r="A10" s="26"/>
      <c r="C10" s="22" t="s">
        <v>62</v>
      </c>
      <c r="D10" s="21">
        <v>2.5</v>
      </c>
      <c r="E10" s="21"/>
      <c r="F10" s="21"/>
      <c r="G10" s="21"/>
      <c r="H10" s="21"/>
      <c r="I10" s="21"/>
      <c r="K10" s="26"/>
    </row>
    <row r="11" spans="1:12" ht="22.05" customHeight="1" x14ac:dyDescent="0.35">
      <c r="A11" s="26"/>
      <c r="C11" s="23" t="s">
        <v>183</v>
      </c>
      <c r="D11" s="20" t="s">
        <v>39</v>
      </c>
      <c r="E11" s="20" t="s">
        <v>39</v>
      </c>
      <c r="F11" s="20" t="s">
        <v>46</v>
      </c>
      <c r="G11" s="20" t="s">
        <v>39</v>
      </c>
      <c r="H11" s="20" t="s">
        <v>44</v>
      </c>
      <c r="I11" s="20" t="s">
        <v>39</v>
      </c>
      <c r="K11" s="26"/>
    </row>
    <row r="12" spans="1:12" ht="22.05" customHeight="1" x14ac:dyDescent="0.35">
      <c r="A12" s="26"/>
      <c r="C12" s="23" t="s">
        <v>224</v>
      </c>
      <c r="D12" s="20" t="s">
        <v>58</v>
      </c>
      <c r="E12" s="20" t="s">
        <v>58</v>
      </c>
      <c r="F12" s="20" t="s">
        <v>280</v>
      </c>
      <c r="G12" s="20" t="s">
        <v>280</v>
      </c>
      <c r="H12" s="20" t="s">
        <v>280</v>
      </c>
      <c r="I12" s="20" t="s">
        <v>280</v>
      </c>
      <c r="K12" s="26"/>
    </row>
    <row r="13" spans="1:12" ht="22.05" customHeight="1" x14ac:dyDescent="0.35">
      <c r="A13" s="26"/>
      <c r="C13" s="23" t="s">
        <v>184</v>
      </c>
      <c r="D13" s="20">
        <v>185</v>
      </c>
      <c r="E13" s="20">
        <v>175</v>
      </c>
      <c r="F13" s="20">
        <v>3.5</v>
      </c>
      <c r="G13" s="20">
        <v>185</v>
      </c>
      <c r="H13" s="20">
        <v>334</v>
      </c>
      <c r="I13" s="20">
        <v>185</v>
      </c>
      <c r="K13" s="26"/>
    </row>
    <row r="14" spans="1:12" ht="22.05" customHeight="1" x14ac:dyDescent="0.35">
      <c r="A14" s="26"/>
      <c r="C14" s="23" t="s">
        <v>185</v>
      </c>
      <c r="D14" s="20" t="s">
        <v>281</v>
      </c>
      <c r="E14" s="20" t="s">
        <v>282</v>
      </c>
      <c r="F14" s="20" t="s">
        <v>281</v>
      </c>
      <c r="G14" s="20" t="s">
        <v>282</v>
      </c>
      <c r="H14" s="20" t="s">
        <v>281</v>
      </c>
      <c r="I14" s="20" t="s">
        <v>281</v>
      </c>
      <c r="K14" s="26"/>
    </row>
    <row r="15" spans="1:12" ht="22.05" customHeight="1" x14ac:dyDescent="0.35">
      <c r="A15" s="26"/>
      <c r="C15" s="23" t="s">
        <v>190</v>
      </c>
      <c r="D15" s="20">
        <v>180</v>
      </c>
      <c r="E15" s="20">
        <v>188</v>
      </c>
      <c r="F15" s="20">
        <v>167</v>
      </c>
      <c r="G15" s="20">
        <v>190</v>
      </c>
      <c r="H15" s="20">
        <v>0</v>
      </c>
      <c r="I15" s="20">
        <v>174</v>
      </c>
      <c r="K15" s="26"/>
    </row>
    <row r="16" spans="1:12" ht="22.05" customHeight="1" x14ac:dyDescent="0.35">
      <c r="A16" s="26"/>
      <c r="C16" s="23" t="s">
        <v>191</v>
      </c>
      <c r="D16" s="20">
        <v>95</v>
      </c>
      <c r="E16" s="20">
        <v>95</v>
      </c>
      <c r="F16" s="20">
        <v>80</v>
      </c>
      <c r="G16" s="20">
        <v>95</v>
      </c>
      <c r="H16" s="20">
        <v>70</v>
      </c>
      <c r="I16" s="20">
        <v>95</v>
      </c>
      <c r="K16" s="26"/>
    </row>
    <row r="17" spans="1:11" ht="22.05" customHeight="1" x14ac:dyDescent="0.35">
      <c r="A17" s="26"/>
      <c r="C17" s="23" t="s">
        <v>192</v>
      </c>
      <c r="D17" s="20">
        <v>115</v>
      </c>
      <c r="E17" s="20">
        <v>115</v>
      </c>
      <c r="F17" s="20">
        <v>70</v>
      </c>
      <c r="G17" s="20">
        <v>115</v>
      </c>
      <c r="H17" s="20">
        <v>70</v>
      </c>
      <c r="I17" s="20">
        <v>115</v>
      </c>
      <c r="K17" s="26"/>
    </row>
    <row r="18" spans="1:11" ht="22.05" customHeight="1" x14ac:dyDescent="0.35">
      <c r="A18" s="26"/>
      <c r="C18" s="56" t="s">
        <v>226</v>
      </c>
      <c r="D18" s="20">
        <v>3.16</v>
      </c>
      <c r="E18" s="20">
        <v>7.24</v>
      </c>
      <c r="F18" s="20">
        <v>2.54</v>
      </c>
      <c r="G18" s="20">
        <v>10.97</v>
      </c>
      <c r="H18" s="20">
        <v>10.17</v>
      </c>
      <c r="I18" s="20">
        <v>1.7</v>
      </c>
      <c r="K18" s="26"/>
    </row>
    <row r="19" spans="1:11" ht="22.05" customHeight="1" x14ac:dyDescent="0.35">
      <c r="A19" s="26"/>
      <c r="C19" s="23" t="s">
        <v>186</v>
      </c>
      <c r="D19" s="20">
        <v>2</v>
      </c>
      <c r="E19" s="20">
        <v>1.6</v>
      </c>
      <c r="F19" s="20">
        <v>4</v>
      </c>
      <c r="G19" s="20">
        <v>2.23</v>
      </c>
      <c r="H19" s="20">
        <v>4.0999999999999996</v>
      </c>
      <c r="I19" s="20">
        <v>0.98</v>
      </c>
      <c r="K19" s="26"/>
    </row>
    <row r="20" spans="1:11" ht="22.05" customHeight="1" x14ac:dyDescent="0.35">
      <c r="A20" s="26"/>
      <c r="C20" s="23" t="s">
        <v>227</v>
      </c>
      <c r="D20" s="20">
        <v>3</v>
      </c>
      <c r="E20" s="20">
        <v>3</v>
      </c>
      <c r="F20" s="20">
        <v>4</v>
      </c>
      <c r="G20" s="20">
        <v>4</v>
      </c>
      <c r="H20" s="20">
        <v>6</v>
      </c>
      <c r="I20" s="20">
        <v>4</v>
      </c>
      <c r="K20" s="26"/>
    </row>
    <row r="21" spans="1:11" ht="22.05" customHeight="1" x14ac:dyDescent="0.35">
      <c r="A21" s="26"/>
      <c r="C21" s="23" t="s">
        <v>65</v>
      </c>
      <c r="D21" s="20" t="s">
        <v>283</v>
      </c>
      <c r="E21" s="20" t="s">
        <v>283</v>
      </c>
      <c r="F21" s="20" t="s">
        <v>283</v>
      </c>
      <c r="G21" s="20" t="s">
        <v>283</v>
      </c>
      <c r="H21" s="20" t="s">
        <v>283</v>
      </c>
      <c r="I21" s="20" t="s">
        <v>283</v>
      </c>
      <c r="K21" s="26"/>
    </row>
    <row r="22" spans="1:11" ht="22.05" customHeight="1" x14ac:dyDescent="0.35">
      <c r="A22" s="26"/>
      <c r="C22" s="23" t="s">
        <v>187</v>
      </c>
      <c r="D22" s="20">
        <v>164</v>
      </c>
      <c r="E22" s="20">
        <v>164</v>
      </c>
      <c r="F22" s="20">
        <v>340</v>
      </c>
      <c r="G22" s="20">
        <v>164</v>
      </c>
      <c r="H22" s="20">
        <v>212</v>
      </c>
      <c r="I22" s="20">
        <v>164</v>
      </c>
      <c r="K22" s="26"/>
    </row>
    <row r="23" spans="1:11" ht="22.05" customHeight="1" x14ac:dyDescent="0.35">
      <c r="A23" s="26"/>
      <c r="C23" s="23" t="s">
        <v>188</v>
      </c>
      <c r="D23" s="20">
        <v>9.1</v>
      </c>
      <c r="E23" s="20">
        <v>9</v>
      </c>
      <c r="F23" s="20">
        <v>3.91</v>
      </c>
      <c r="G23" s="20">
        <v>9.8000000000000007</v>
      </c>
      <c r="H23" s="20">
        <v>5.9</v>
      </c>
      <c r="I23" s="20">
        <v>10</v>
      </c>
      <c r="K23" s="26"/>
    </row>
    <row r="24" spans="1:11" ht="22.05" customHeight="1" x14ac:dyDescent="0.35">
      <c r="A24" s="26"/>
      <c r="C24" s="23" t="s">
        <v>193</v>
      </c>
      <c r="D24" s="20">
        <v>0.8</v>
      </c>
      <c r="E24" s="20"/>
      <c r="F24" s="20"/>
      <c r="G24" s="20"/>
      <c r="H24" s="20"/>
      <c r="I24" s="20"/>
      <c r="K24" s="26"/>
    </row>
    <row r="25" spans="1:11" ht="22.05" customHeight="1" x14ac:dyDescent="0.35">
      <c r="A25" s="26"/>
      <c r="C25" s="23" t="s">
        <v>194</v>
      </c>
      <c r="D25" s="20">
        <v>0.63</v>
      </c>
      <c r="E25" s="20"/>
      <c r="F25" s="20"/>
      <c r="G25" s="20"/>
      <c r="H25" s="20"/>
      <c r="I25" s="20"/>
      <c r="K25" s="26"/>
    </row>
    <row r="26" spans="1:11" ht="22.05" customHeight="1" x14ac:dyDescent="0.35">
      <c r="A26" s="26"/>
      <c r="C26" s="23" t="s">
        <v>195</v>
      </c>
      <c r="D26" s="20">
        <v>0.47</v>
      </c>
      <c r="E26" s="20"/>
      <c r="F26" s="20"/>
      <c r="G26" s="20"/>
      <c r="H26" s="20"/>
      <c r="I26" s="20"/>
      <c r="K26" s="26"/>
    </row>
    <row r="27" spans="1:11" ht="22.05" customHeight="1" x14ac:dyDescent="0.35">
      <c r="A27" s="26"/>
      <c r="C27" s="23" t="s">
        <v>196</v>
      </c>
      <c r="D27" s="20">
        <v>0.4</v>
      </c>
      <c r="E27" s="20">
        <v>0.4</v>
      </c>
      <c r="F27" s="20">
        <v>7.37</v>
      </c>
      <c r="G27" s="20">
        <v>0.4</v>
      </c>
      <c r="H27" s="20">
        <v>0.43</v>
      </c>
      <c r="I27" s="20">
        <v>0.4</v>
      </c>
      <c r="K27" s="26"/>
    </row>
    <row r="28" spans="1:11" ht="22.05" customHeight="1" x14ac:dyDescent="0.35">
      <c r="A28" s="26"/>
      <c r="C28" s="56" t="s">
        <v>197</v>
      </c>
      <c r="D28" s="20">
        <v>19.5</v>
      </c>
      <c r="E28" s="20">
        <v>19.5</v>
      </c>
      <c r="F28" s="20">
        <v>19.5</v>
      </c>
      <c r="G28" s="20">
        <v>19.5</v>
      </c>
      <c r="H28" s="20">
        <v>19.5</v>
      </c>
      <c r="I28" s="20">
        <v>19.5</v>
      </c>
      <c r="K28" s="26"/>
    </row>
    <row r="29" spans="1:11" ht="22.05" customHeight="1" x14ac:dyDescent="0.35">
      <c r="A29" s="26"/>
      <c r="C29" s="23" t="s">
        <v>198</v>
      </c>
      <c r="D29" s="20">
        <v>2.4300000000000002</v>
      </c>
      <c r="E29" s="20">
        <v>2.4300000000000002</v>
      </c>
      <c r="F29" s="20">
        <v>2.4300000000000002</v>
      </c>
      <c r="G29" s="20">
        <v>2.4300000000000002</v>
      </c>
      <c r="H29" s="20">
        <v>2.4300000000000002</v>
      </c>
      <c r="I29" s="20">
        <v>2.4300000000000002</v>
      </c>
      <c r="K29" s="26"/>
    </row>
    <row r="30" spans="1:11" ht="22.05" customHeight="1" x14ac:dyDescent="0.35">
      <c r="A30" s="26"/>
      <c r="C30" s="23" t="s">
        <v>199</v>
      </c>
      <c r="D30" s="20">
        <v>102</v>
      </c>
      <c r="E30" s="20">
        <v>6</v>
      </c>
      <c r="F30" s="20">
        <v>4</v>
      </c>
      <c r="G30" s="20">
        <v>1400</v>
      </c>
      <c r="H30" s="20">
        <v>125</v>
      </c>
      <c r="I30" s="20"/>
      <c r="K30" s="26"/>
    </row>
    <row r="31" spans="1:11" ht="22.05" customHeight="1" x14ac:dyDescent="0.35">
      <c r="A31" s="26"/>
      <c r="C31" s="23" t="s">
        <v>200</v>
      </c>
      <c r="D31" s="20">
        <v>0.62</v>
      </c>
      <c r="E31" s="20"/>
      <c r="F31" s="20"/>
      <c r="G31" s="20"/>
      <c r="H31" s="20"/>
      <c r="I31" s="20"/>
      <c r="K31" s="26"/>
    </row>
    <row r="32" spans="1:11" ht="22.05" customHeight="1" x14ac:dyDescent="0.35">
      <c r="A32" s="26"/>
      <c r="C32" s="23" t="s">
        <v>201</v>
      </c>
      <c r="D32" s="20">
        <v>9.5</v>
      </c>
      <c r="E32" s="20"/>
      <c r="F32" s="20"/>
      <c r="G32" s="20"/>
      <c r="H32" s="20"/>
      <c r="I32" s="20"/>
      <c r="K32" s="26"/>
    </row>
    <row r="33" spans="1:11" ht="22.05" customHeight="1" x14ac:dyDescent="0.35">
      <c r="A33" s="26"/>
      <c r="C33" s="23" t="s">
        <v>228</v>
      </c>
      <c r="D33" s="20" t="s">
        <v>284</v>
      </c>
      <c r="E33" s="20"/>
      <c r="F33" s="20"/>
      <c r="G33" s="20"/>
      <c r="H33" s="20"/>
      <c r="I33" s="20"/>
      <c r="K33" s="26"/>
    </row>
    <row r="34" spans="1:11" ht="22.05" customHeight="1" x14ac:dyDescent="0.35">
      <c r="A34" s="26"/>
      <c r="K34" s="26"/>
    </row>
    <row r="35" spans="1:11" ht="8.1" customHeight="1" x14ac:dyDescent="0.35">
      <c r="A35" s="26"/>
      <c r="B35" s="26"/>
      <c r="C35" s="26"/>
      <c r="D35" s="28"/>
      <c r="E35" s="28"/>
      <c r="F35" s="28"/>
      <c r="G35" s="28"/>
      <c r="H35" s="28"/>
      <c r="I35" s="28"/>
      <c r="J35" s="26"/>
      <c r="K35" s="26"/>
    </row>
    <row r="38" spans="1:11" ht="20.75" customHeight="1" x14ac:dyDescent="0.35"/>
  </sheetData>
  <sheetProtection algorithmName="SHA-512" hashValue="DhNbYHx03nWujlt+I0b0J+ja53d1kpxGDBIZxcSqMw5DjrGwNyeiWf3IgtPF4XRp35X2W/hqT8xGXCjYvbXhSA==" saltValue="lyCGAXhZOlNuRUBzoXUOZQ==" spinCount="100000" sheet="1" objects="1" scenarios="1"/>
  <mergeCells count="3">
    <mergeCell ref="C5:D6"/>
    <mergeCell ref="C3:I4"/>
    <mergeCell ref="D9:I9"/>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6"/>
  <sheetViews>
    <sheetView showGridLines="0" workbookViewId="0">
      <selection activeCell="S26" sqref="S26"/>
    </sheetView>
  </sheetViews>
  <sheetFormatPr defaultColWidth="12.453125" defaultRowHeight="19.05" customHeight="1" x14ac:dyDescent="0.25"/>
  <cols>
    <col min="1" max="1" width="8.6328125" style="124" customWidth="1"/>
    <col min="2" max="2" width="3.6328125" style="124" customWidth="1"/>
    <col min="3" max="3" width="19.1796875" style="124" customWidth="1"/>
    <col min="4" max="4" width="1" style="124" customWidth="1"/>
    <col min="5" max="5" width="8" style="124" customWidth="1"/>
    <col min="6" max="6" width="10.08984375" style="124" customWidth="1"/>
    <col min="7" max="7" width="12.453125" style="124"/>
    <col min="8" max="8" width="3.6328125" style="124" customWidth="1"/>
    <col min="9" max="9" width="8.6328125" style="124" customWidth="1"/>
    <col min="10" max="16384" width="12.453125" style="124"/>
  </cols>
  <sheetData>
    <row r="1" spans="1:9" ht="8.1" customHeight="1" x14ac:dyDescent="0.25">
      <c r="A1" s="63"/>
      <c r="B1" s="63"/>
      <c r="C1" s="63"/>
      <c r="D1" s="63"/>
      <c r="E1" s="63"/>
      <c r="F1" s="63"/>
      <c r="G1" s="63"/>
      <c r="H1" s="63"/>
      <c r="I1" s="63"/>
    </row>
    <row r="2" spans="1:9" ht="31" customHeight="1" x14ac:dyDescent="0.35">
      <c r="A2" s="63"/>
      <c r="C2" s="70" t="s">
        <v>146</v>
      </c>
      <c r="D2" s="70"/>
      <c r="I2" s="63"/>
    </row>
    <row r="3" spans="1:9" ht="15" customHeight="1" x14ac:dyDescent="0.3">
      <c r="A3" s="63"/>
      <c r="C3" s="74" t="s">
        <v>350</v>
      </c>
      <c r="D3" s="74"/>
      <c r="I3" s="63"/>
    </row>
    <row r="4" spans="1:9" ht="15" customHeight="1" x14ac:dyDescent="0.3">
      <c r="A4" s="63"/>
      <c r="C4" s="74" t="s">
        <v>384</v>
      </c>
      <c r="D4" s="74"/>
      <c r="I4" s="63"/>
    </row>
    <row r="5" spans="1:9" ht="15" customHeight="1" x14ac:dyDescent="0.3">
      <c r="A5" s="63"/>
      <c r="C5" s="74" t="s">
        <v>383</v>
      </c>
      <c r="D5" s="74"/>
      <c r="I5" s="63"/>
    </row>
    <row r="6" spans="1:9" ht="22.05" customHeight="1" x14ac:dyDescent="0.25">
      <c r="A6" s="63"/>
      <c r="I6" s="63"/>
    </row>
    <row r="7" spans="1:9" ht="22.05" customHeight="1" thickBot="1" x14ac:dyDescent="0.3">
      <c r="A7" s="63"/>
      <c r="C7" s="67" t="s">
        <v>102</v>
      </c>
      <c r="D7" s="68"/>
      <c r="E7" s="68" t="s">
        <v>67</v>
      </c>
      <c r="F7" s="69" t="s">
        <v>103</v>
      </c>
      <c r="I7" s="63"/>
    </row>
    <row r="8" spans="1:9" ht="22.05" customHeight="1" thickTop="1" x14ac:dyDescent="0.3">
      <c r="A8" s="63"/>
      <c r="C8" s="61" t="s">
        <v>104</v>
      </c>
      <c r="D8" s="59"/>
      <c r="E8" s="59" t="s">
        <v>105</v>
      </c>
      <c r="F8" s="59">
        <v>102</v>
      </c>
      <c r="I8" s="63"/>
    </row>
    <row r="9" spans="1:9" ht="22.05" customHeight="1" x14ac:dyDescent="0.3">
      <c r="A9" s="63"/>
      <c r="C9" s="62" t="s">
        <v>106</v>
      </c>
      <c r="D9" s="60"/>
      <c r="E9" s="60" t="s">
        <v>107</v>
      </c>
      <c r="F9" s="60">
        <v>6</v>
      </c>
      <c r="I9" s="63"/>
    </row>
    <row r="10" spans="1:9" ht="22.05" customHeight="1" x14ac:dyDescent="0.3">
      <c r="A10" s="63"/>
      <c r="C10" s="62" t="s">
        <v>108</v>
      </c>
      <c r="D10" s="60"/>
      <c r="E10" s="60" t="s">
        <v>109</v>
      </c>
      <c r="F10" s="60">
        <v>1400</v>
      </c>
      <c r="I10" s="63"/>
    </row>
    <row r="11" spans="1:9" ht="22.05" customHeight="1" x14ac:dyDescent="0.3">
      <c r="A11" s="63"/>
      <c r="C11" s="62" t="s">
        <v>111</v>
      </c>
      <c r="D11" s="60"/>
      <c r="E11" s="60" t="s">
        <v>105</v>
      </c>
      <c r="F11" s="60">
        <v>125</v>
      </c>
      <c r="I11" s="63"/>
    </row>
    <row r="12" spans="1:9" ht="22.05" customHeight="1" x14ac:dyDescent="0.3">
      <c r="A12" s="63"/>
      <c r="C12" s="158" t="s">
        <v>110</v>
      </c>
      <c r="D12" s="159"/>
      <c r="E12" s="159"/>
      <c r="F12" s="159"/>
      <c r="I12" s="63"/>
    </row>
    <row r="13" spans="1:9" ht="22.05" customHeight="1" x14ac:dyDescent="0.3">
      <c r="A13" s="63"/>
      <c r="C13" s="158" t="s">
        <v>112</v>
      </c>
      <c r="D13" s="159"/>
      <c r="E13" s="159"/>
      <c r="F13" s="160"/>
      <c r="I13" s="63"/>
    </row>
    <row r="14" spans="1:9" ht="22.05" customHeight="1" x14ac:dyDescent="0.3">
      <c r="A14" s="63"/>
      <c r="C14" s="172" t="s">
        <v>440</v>
      </c>
      <c r="D14" s="159"/>
      <c r="E14" s="159"/>
      <c r="F14" s="159"/>
      <c r="I14" s="63"/>
    </row>
    <row r="15" spans="1:9" ht="22.05" customHeight="1" x14ac:dyDescent="0.25">
      <c r="A15" s="63"/>
      <c r="I15" s="63"/>
    </row>
    <row r="16" spans="1:9" ht="8.1" customHeight="1" x14ac:dyDescent="0.25">
      <c r="A16" s="63"/>
      <c r="B16" s="63"/>
      <c r="C16" s="63"/>
      <c r="D16" s="63"/>
      <c r="E16" s="63"/>
      <c r="F16" s="63"/>
      <c r="G16" s="63"/>
      <c r="H16" s="63"/>
      <c r="I16" s="63"/>
    </row>
  </sheetData>
  <sheetProtection algorithmName="SHA-512" hashValue="8QBr2eS6X5RJE2/UcGSO2Qlp9ucHJ72PD4bOxYrf/nR1JZKJUvsmvLoE98l8H2j6FPLVyzpoSH9rhNN8xiGeOw==" saltValue="FCJVPIkY3pfELpnK1eWIOQ=="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36"/>
  <sheetViews>
    <sheetView showGridLines="0" zoomScaleNormal="100" workbookViewId="0">
      <selection activeCell="U155" sqref="U155"/>
    </sheetView>
  </sheetViews>
  <sheetFormatPr defaultColWidth="10.81640625" defaultRowHeight="20.05" customHeight="1" x14ac:dyDescent="0.3"/>
  <cols>
    <col min="1" max="1" width="8.6328125" style="72" customWidth="1"/>
    <col min="2" max="2" width="3.6328125" style="72" customWidth="1"/>
    <col min="3" max="3" width="20.81640625" style="72" customWidth="1"/>
    <col min="4" max="4" width="10.81640625" style="72"/>
    <col min="5" max="5" width="10.81640625" style="72" customWidth="1"/>
    <col min="6" max="7" width="10.81640625" style="72"/>
    <col min="8" max="8" width="20" style="72" bestFit="1" customWidth="1"/>
    <col min="9" max="10" width="10.81640625" style="72"/>
    <col min="11" max="11" width="10" style="72" customWidth="1"/>
    <col min="12" max="12" width="3.6328125" style="72" customWidth="1"/>
    <col min="13" max="13" width="8.6328125" style="72" customWidth="1"/>
    <col min="14" max="14" width="10.81640625" style="72"/>
    <col min="15" max="15" width="10.81640625" style="72" customWidth="1"/>
    <col min="16" max="16384" width="10.81640625" style="72"/>
  </cols>
  <sheetData>
    <row r="1" spans="1:13" ht="8.1" customHeight="1" x14ac:dyDescent="0.3">
      <c r="A1" s="88"/>
      <c r="B1" s="88"/>
      <c r="C1" s="88"/>
      <c r="D1" s="88"/>
      <c r="E1" s="88"/>
      <c r="F1" s="88"/>
      <c r="G1" s="88"/>
      <c r="H1" s="88"/>
      <c r="I1" s="88"/>
      <c r="J1" s="88"/>
      <c r="K1" s="88"/>
      <c r="L1" s="88"/>
      <c r="M1" s="88"/>
    </row>
    <row r="2" spans="1:13" customFormat="1" ht="31" customHeight="1" x14ac:dyDescent="0.35">
      <c r="A2" s="57"/>
      <c r="C2" s="70" t="s">
        <v>394</v>
      </c>
      <c r="M2" s="57"/>
    </row>
    <row r="3" spans="1:13" ht="7.5" customHeight="1" x14ac:dyDescent="0.35">
      <c r="A3" s="88"/>
      <c r="C3" s="71"/>
      <c r="M3" s="88"/>
    </row>
    <row r="4" spans="1:13" ht="15" customHeight="1" x14ac:dyDescent="0.3">
      <c r="A4" s="88"/>
      <c r="C4" s="109" t="s">
        <v>386</v>
      </c>
      <c r="D4" s="110" t="s">
        <v>113</v>
      </c>
      <c r="E4" s="111"/>
      <c r="F4" s="112"/>
      <c r="G4" s="111"/>
      <c r="H4" s="111"/>
      <c r="M4" s="88"/>
    </row>
    <row r="5" spans="1:13" ht="15" customHeight="1" x14ac:dyDescent="0.3">
      <c r="A5" s="88"/>
      <c r="C5" s="109"/>
      <c r="D5" s="110" t="s">
        <v>399</v>
      </c>
      <c r="E5" s="110" t="s">
        <v>400</v>
      </c>
      <c r="F5" s="110" t="s">
        <v>401</v>
      </c>
      <c r="G5" s="110" t="s">
        <v>402</v>
      </c>
      <c r="H5" s="110" t="s">
        <v>404</v>
      </c>
      <c r="M5" s="88"/>
    </row>
    <row r="6" spans="1:13" ht="15" customHeight="1" x14ac:dyDescent="0.3">
      <c r="A6" s="88"/>
      <c r="C6" s="109"/>
      <c r="D6" s="113"/>
      <c r="E6" s="110" t="s">
        <v>403</v>
      </c>
      <c r="F6" s="110" t="s">
        <v>405</v>
      </c>
      <c r="G6" s="110" t="s">
        <v>406</v>
      </c>
      <c r="H6" s="110" t="s">
        <v>407</v>
      </c>
      <c r="M6" s="88"/>
    </row>
    <row r="7" spans="1:13" ht="15" customHeight="1" x14ac:dyDescent="0.3">
      <c r="A7" s="88"/>
      <c r="C7" s="109"/>
      <c r="D7" s="113"/>
      <c r="E7" s="110" t="s">
        <v>408</v>
      </c>
      <c r="F7" s="114"/>
      <c r="G7" s="114"/>
      <c r="H7" s="114"/>
      <c r="M7" s="88"/>
    </row>
    <row r="8" spans="1:13" ht="6.05" customHeight="1" x14ac:dyDescent="0.3">
      <c r="A8" s="88"/>
      <c r="C8" s="74"/>
      <c r="D8" s="75"/>
      <c r="E8" s="76"/>
      <c r="F8" s="76"/>
      <c r="G8" s="76"/>
      <c r="M8" s="88"/>
    </row>
    <row r="9" spans="1:13" ht="18" customHeight="1" x14ac:dyDescent="0.3">
      <c r="A9" s="88"/>
      <c r="C9" s="74" t="s">
        <v>385</v>
      </c>
      <c r="M9" s="88"/>
    </row>
    <row r="10" spans="1:13" ht="18" customHeight="1" x14ac:dyDescent="0.3">
      <c r="A10" s="88"/>
      <c r="C10" s="74" t="s">
        <v>391</v>
      </c>
      <c r="M10" s="88"/>
    </row>
    <row r="11" spans="1:13" ht="18" customHeight="1" x14ac:dyDescent="0.3">
      <c r="A11" s="88"/>
      <c r="C11" s="74" t="s">
        <v>395</v>
      </c>
      <c r="M11" s="88"/>
    </row>
    <row r="12" spans="1:13" ht="18" customHeight="1" x14ac:dyDescent="0.3">
      <c r="A12" s="88"/>
      <c r="C12" s="74" t="s">
        <v>389</v>
      </c>
      <c r="M12" s="88"/>
    </row>
    <row r="13" spans="1:13" ht="6.05" customHeight="1" x14ac:dyDescent="0.3">
      <c r="A13" s="88"/>
      <c r="C13" s="74"/>
      <c r="M13" s="88"/>
    </row>
    <row r="14" spans="1:13" s="74" customFormat="1" ht="18" customHeight="1" x14ac:dyDescent="0.3">
      <c r="A14" s="89"/>
      <c r="C14" s="74" t="s">
        <v>308</v>
      </c>
      <c r="M14" s="89"/>
    </row>
    <row r="15" spans="1:13" s="74" customFormat="1" ht="18" customHeight="1" x14ac:dyDescent="0.3">
      <c r="A15" s="89"/>
      <c r="C15" s="74" t="s">
        <v>392</v>
      </c>
      <c r="M15" s="89"/>
    </row>
    <row r="16" spans="1:13" s="74" customFormat="1" ht="22.05" customHeight="1" x14ac:dyDescent="0.3">
      <c r="A16" s="89"/>
      <c r="M16" s="89"/>
    </row>
    <row r="17" spans="1:16" s="74" customFormat="1" ht="22.05" customHeight="1" x14ac:dyDescent="0.3">
      <c r="A17" s="89"/>
      <c r="C17" s="77" t="s">
        <v>113</v>
      </c>
      <c r="M17" s="89"/>
    </row>
    <row r="18" spans="1:16" s="74" customFormat="1" ht="7.05" customHeight="1" x14ac:dyDescent="0.3">
      <c r="A18" s="89"/>
      <c r="C18" s="77"/>
      <c r="M18" s="89"/>
    </row>
    <row r="19" spans="1:16" ht="22.05" customHeight="1" thickBot="1" x14ac:dyDescent="0.35">
      <c r="A19" s="88"/>
      <c r="C19" s="64" t="s">
        <v>113</v>
      </c>
      <c r="D19" s="65" t="s">
        <v>114</v>
      </c>
      <c r="E19" s="65"/>
      <c r="F19" s="85" t="s">
        <v>115</v>
      </c>
      <c r="G19" s="66"/>
      <c r="H19" s="86"/>
      <c r="L19" s="78"/>
      <c r="M19" s="88"/>
    </row>
    <row r="20" spans="1:16" ht="22.05" customHeight="1" thickTop="1" x14ac:dyDescent="0.3">
      <c r="A20" s="88"/>
      <c r="C20" s="61" t="s">
        <v>116</v>
      </c>
      <c r="D20" s="59" t="s">
        <v>162</v>
      </c>
      <c r="E20" s="59"/>
      <c r="F20" s="59" t="s">
        <v>118</v>
      </c>
      <c r="G20" s="59"/>
      <c r="H20" s="59"/>
      <c r="L20" s="79"/>
      <c r="M20" s="88"/>
    </row>
    <row r="21" spans="1:16" ht="22.05" customHeight="1" x14ac:dyDescent="0.3">
      <c r="A21" s="88"/>
      <c r="C21" s="62" t="s">
        <v>119</v>
      </c>
      <c r="D21" s="60" t="s">
        <v>120</v>
      </c>
      <c r="E21" s="60"/>
      <c r="F21" s="60" t="s">
        <v>121</v>
      </c>
      <c r="G21" s="60"/>
      <c r="H21" s="60"/>
      <c r="L21" s="79"/>
      <c r="M21" s="88"/>
    </row>
    <row r="22" spans="1:16" ht="22.05" customHeight="1" x14ac:dyDescent="0.3">
      <c r="A22" s="88"/>
      <c r="C22" s="62" t="s">
        <v>61</v>
      </c>
      <c r="D22" s="60" t="s">
        <v>120</v>
      </c>
      <c r="E22" s="60"/>
      <c r="F22" s="60" t="s">
        <v>122</v>
      </c>
      <c r="G22" s="60"/>
      <c r="H22" s="60"/>
      <c r="M22" s="88"/>
    </row>
    <row r="23" spans="1:16" ht="22.05" customHeight="1" x14ac:dyDescent="0.3">
      <c r="A23" s="88"/>
      <c r="C23" s="62" t="s">
        <v>124</v>
      </c>
      <c r="D23" s="60" t="s">
        <v>125</v>
      </c>
      <c r="E23" s="60"/>
      <c r="F23" s="60" t="s">
        <v>126</v>
      </c>
      <c r="G23" s="60"/>
      <c r="H23" s="60"/>
      <c r="L23" s="80"/>
      <c r="M23" s="88"/>
      <c r="P23" s="81"/>
    </row>
    <row r="24" spans="1:16" ht="22.05" customHeight="1" x14ac:dyDescent="0.3">
      <c r="A24" s="88"/>
      <c r="C24" s="62" t="s">
        <v>128</v>
      </c>
      <c r="D24" s="60" t="s">
        <v>117</v>
      </c>
      <c r="E24" s="60"/>
      <c r="F24" s="60" t="s">
        <v>129</v>
      </c>
      <c r="G24" s="60"/>
      <c r="H24" s="60"/>
      <c r="M24" s="88"/>
      <c r="P24" s="81"/>
    </row>
    <row r="25" spans="1:16" ht="22.05" customHeight="1" x14ac:dyDescent="0.3">
      <c r="A25" s="88"/>
      <c r="C25" s="62" t="s">
        <v>131</v>
      </c>
      <c r="D25" s="60" t="s">
        <v>309</v>
      </c>
      <c r="E25" s="60"/>
      <c r="F25" s="60" t="s">
        <v>132</v>
      </c>
      <c r="G25" s="60"/>
      <c r="H25" s="60"/>
      <c r="M25" s="88"/>
      <c r="P25" s="82"/>
    </row>
    <row r="26" spans="1:16" ht="22.05" customHeight="1" x14ac:dyDescent="0.3">
      <c r="A26" s="88"/>
      <c r="C26" s="62" t="s">
        <v>134</v>
      </c>
      <c r="D26" s="60" t="s">
        <v>309</v>
      </c>
      <c r="E26" s="60"/>
      <c r="F26" s="60" t="s">
        <v>135</v>
      </c>
      <c r="G26" s="60"/>
      <c r="H26" s="60"/>
      <c r="M26" s="88"/>
    </row>
    <row r="27" spans="1:16" ht="22.05" customHeight="1" x14ac:dyDescent="0.3">
      <c r="A27" s="88"/>
      <c r="C27" s="62" t="s">
        <v>159</v>
      </c>
      <c r="D27" s="60" t="s">
        <v>162</v>
      </c>
      <c r="E27" s="60"/>
      <c r="F27" s="60" t="s">
        <v>136</v>
      </c>
      <c r="G27" s="60"/>
      <c r="H27" s="60"/>
      <c r="M27" s="88"/>
      <c r="P27" s="82"/>
    </row>
    <row r="28" spans="1:16" ht="22.05" customHeight="1" x14ac:dyDescent="0.3">
      <c r="A28" s="88"/>
      <c r="C28" s="87" t="s">
        <v>138</v>
      </c>
      <c r="D28" s="60" t="s">
        <v>120</v>
      </c>
      <c r="E28" s="60"/>
      <c r="F28" s="60" t="s">
        <v>121</v>
      </c>
      <c r="G28" s="60"/>
      <c r="H28" s="60"/>
      <c r="M28" s="88"/>
      <c r="P28" s="82"/>
    </row>
    <row r="29" spans="1:16" ht="22.05" customHeight="1" x14ac:dyDescent="0.3">
      <c r="A29" s="88"/>
      <c r="C29" s="87" t="s">
        <v>140</v>
      </c>
      <c r="D29" s="60"/>
      <c r="E29" s="60"/>
      <c r="F29" s="60" t="s">
        <v>141</v>
      </c>
      <c r="G29" s="60"/>
      <c r="H29" s="60"/>
      <c r="M29" s="88"/>
      <c r="P29" s="82"/>
    </row>
    <row r="30" spans="1:16" ht="22.05" customHeight="1" x14ac:dyDescent="0.3">
      <c r="A30" s="88"/>
      <c r="C30" s="87" t="s">
        <v>143</v>
      </c>
      <c r="D30" s="60"/>
      <c r="E30" s="60"/>
      <c r="F30" s="60" t="s">
        <v>144</v>
      </c>
      <c r="G30" s="60"/>
      <c r="H30" s="60"/>
      <c r="M30" s="88"/>
      <c r="N30" s="108" t="s">
        <v>409</v>
      </c>
      <c r="P30" s="82"/>
    </row>
    <row r="31" spans="1:16" ht="22.05" customHeight="1" x14ac:dyDescent="0.3">
      <c r="A31" s="88"/>
      <c r="M31" s="88"/>
    </row>
    <row r="32" spans="1:16" s="74" customFormat="1" ht="20.05" customHeight="1" x14ac:dyDescent="0.35">
      <c r="A32" s="89"/>
      <c r="C32" s="70" t="s">
        <v>327</v>
      </c>
      <c r="M32" s="89"/>
    </row>
    <row r="33" spans="1:14" s="74" customFormat="1" ht="20.05" customHeight="1" x14ac:dyDescent="0.3">
      <c r="A33" s="89"/>
      <c r="C33" s="74" t="s">
        <v>311</v>
      </c>
      <c r="M33" s="89"/>
    </row>
    <row r="34" spans="1:14" s="74" customFormat="1" ht="20.05" customHeight="1" x14ac:dyDescent="0.3">
      <c r="A34" s="89"/>
      <c r="C34" s="83" t="s">
        <v>310</v>
      </c>
      <c r="M34" s="89"/>
    </row>
    <row r="35" spans="1:14" s="74" customFormat="1" ht="20.05" customHeight="1" x14ac:dyDescent="0.3">
      <c r="A35" s="89"/>
      <c r="C35" s="74" t="s">
        <v>387</v>
      </c>
      <c r="M35" s="89"/>
    </row>
    <row r="36" spans="1:14" s="74" customFormat="1" ht="20.05" customHeight="1" x14ac:dyDescent="0.3">
      <c r="A36" s="89"/>
      <c r="C36" s="74" t="s">
        <v>388</v>
      </c>
      <c r="M36" s="89"/>
    </row>
    <row r="37" spans="1:14" s="74" customFormat="1" ht="20.05" customHeight="1" x14ac:dyDescent="0.3">
      <c r="A37" s="89"/>
      <c r="C37" s="74" t="s">
        <v>312</v>
      </c>
      <c r="M37" s="89"/>
    </row>
    <row r="38" spans="1:14" s="74" customFormat="1" ht="20.05" customHeight="1" x14ac:dyDescent="0.3">
      <c r="A38" s="89"/>
      <c r="M38" s="89"/>
    </row>
    <row r="39" spans="1:14" s="74" customFormat="1" ht="35.15" customHeight="1" thickBot="1" x14ac:dyDescent="0.35">
      <c r="A39" s="89"/>
      <c r="C39" s="65" t="s">
        <v>66</v>
      </c>
      <c r="D39" s="65"/>
      <c r="E39" s="97" t="s">
        <v>68</v>
      </c>
      <c r="M39" s="89"/>
    </row>
    <row r="40" spans="1:14" ht="22.05" customHeight="1" thickTop="1" x14ac:dyDescent="0.3">
      <c r="A40" s="88"/>
      <c r="C40" s="95" t="s">
        <v>123</v>
      </c>
      <c r="D40" s="59"/>
      <c r="E40" s="96">
        <f>IFERROR(((10/90)*Machinery!F11),0)</f>
        <v>13.888888888888888</v>
      </c>
      <c r="M40" s="88"/>
    </row>
    <row r="41" spans="1:14" ht="22.05" customHeight="1" x14ac:dyDescent="0.3">
      <c r="A41" s="88"/>
      <c r="C41" s="60" t="s">
        <v>127</v>
      </c>
      <c r="D41" s="60"/>
      <c r="E41" s="92">
        <v>4</v>
      </c>
      <c r="M41" s="88"/>
    </row>
    <row r="42" spans="1:14" ht="22.05" customHeight="1" x14ac:dyDescent="0.3">
      <c r="A42" s="88"/>
      <c r="C42" s="60" t="s">
        <v>130</v>
      </c>
      <c r="D42" s="60"/>
      <c r="E42" s="93">
        <v>0.6</v>
      </c>
      <c r="M42" s="88"/>
    </row>
    <row r="43" spans="1:14" ht="22.05" customHeight="1" x14ac:dyDescent="0.3">
      <c r="A43" s="88"/>
      <c r="C43" s="60" t="s">
        <v>133</v>
      </c>
      <c r="D43" s="60"/>
      <c r="E43" s="94">
        <v>19</v>
      </c>
      <c r="M43" s="88"/>
    </row>
    <row r="44" spans="1:14" ht="22.05" customHeight="1" x14ac:dyDescent="0.3">
      <c r="A44" s="88"/>
      <c r="C44" s="198" t="s">
        <v>137</v>
      </c>
      <c r="D44" s="198"/>
      <c r="E44" s="93">
        <f>1.341*Machinery!F8</f>
        <v>136.78200000000001</v>
      </c>
      <c r="M44" s="88"/>
    </row>
    <row r="45" spans="1:14" ht="22.05" customHeight="1" x14ac:dyDescent="0.3">
      <c r="A45" s="88"/>
      <c r="C45" s="60" t="s">
        <v>139</v>
      </c>
      <c r="D45" s="60"/>
      <c r="E45" s="93">
        <f>E44*0.044*4.546</f>
        <v>27.359682768000003</v>
      </c>
      <c r="M45" s="88"/>
    </row>
    <row r="46" spans="1:14" ht="22.05" customHeight="1" x14ac:dyDescent="0.3">
      <c r="A46" s="88"/>
      <c r="C46" s="198" t="s">
        <v>142</v>
      </c>
      <c r="D46" s="198"/>
      <c r="E46" s="93">
        <f>1.341*Machinery!F11</f>
        <v>167.625</v>
      </c>
      <c r="M46" s="88"/>
    </row>
    <row r="47" spans="1:14" ht="22.05" customHeight="1" x14ac:dyDescent="0.3">
      <c r="A47" s="88"/>
      <c r="C47" s="60" t="s">
        <v>145</v>
      </c>
      <c r="D47" s="60"/>
      <c r="E47" s="93">
        <f>E46*0.044*4.546</f>
        <v>33.529023000000002</v>
      </c>
      <c r="M47" s="88"/>
      <c r="N47" s="108" t="s">
        <v>409</v>
      </c>
    </row>
    <row r="48" spans="1:14" ht="22.05" customHeight="1" x14ac:dyDescent="0.3">
      <c r="A48" s="88"/>
      <c r="C48" s="84"/>
      <c r="M48" s="88"/>
    </row>
    <row r="49" spans="1:14" ht="22.05" customHeight="1" x14ac:dyDescent="0.3">
      <c r="A49" s="88"/>
      <c r="C49" s="73" t="s">
        <v>155</v>
      </c>
      <c r="H49" s="73" t="s">
        <v>28</v>
      </c>
      <c r="M49" s="88"/>
    </row>
    <row r="50" spans="1:14" ht="22.05" customHeight="1" x14ac:dyDescent="0.3">
      <c r="A50" s="88"/>
      <c r="C50" s="200" t="s">
        <v>113</v>
      </c>
      <c r="D50" s="201" t="s">
        <v>396</v>
      </c>
      <c r="E50" s="203"/>
      <c r="F50" s="203"/>
      <c r="H50" s="199" t="s">
        <v>113</v>
      </c>
      <c r="I50" s="201" t="s">
        <v>396</v>
      </c>
      <c r="J50" s="201"/>
      <c r="K50" s="201"/>
      <c r="M50" s="88"/>
    </row>
    <row r="51" spans="1:14" ht="22.05" customHeight="1" x14ac:dyDescent="0.3">
      <c r="A51" s="88"/>
      <c r="C51" s="202"/>
      <c r="D51" s="106" t="s">
        <v>104</v>
      </c>
      <c r="E51" s="106" t="s">
        <v>114</v>
      </c>
      <c r="F51" s="106" t="s">
        <v>156</v>
      </c>
      <c r="H51" s="200"/>
      <c r="I51" s="106" t="s">
        <v>104</v>
      </c>
      <c r="J51" s="106" t="s">
        <v>114</v>
      </c>
      <c r="K51" s="106" t="s">
        <v>156</v>
      </c>
      <c r="M51" s="88"/>
    </row>
    <row r="52" spans="1:14" ht="22.05" customHeight="1" x14ac:dyDescent="0.3">
      <c r="A52" s="88"/>
      <c r="C52" s="60" t="s">
        <v>116</v>
      </c>
      <c r="D52" s="98">
        <f>(0.06+0.00025*('Crop Data'!F10+'Crop Data'!F11))+(64.48+0.094*('Crop Data'!F10+'Crop Data'!F11))/Machinery!$F$10</f>
        <v>0.17265714285714284</v>
      </c>
      <c r="E52" s="99"/>
      <c r="F52" s="98">
        <f>D52</f>
        <v>0.17265714285714284</v>
      </c>
      <c r="H52" s="60" t="s">
        <v>116</v>
      </c>
      <c r="I52" s="98">
        <f>(0.06+0.00025*('Crop Data'!G10+'Crop Data'!G11))+(64.48+0.094*('Crop Data'!G10+'Crop Data'!G11))/Machinery!$F$10</f>
        <v>0.16314285714285715</v>
      </c>
      <c r="J52" s="98"/>
      <c r="K52" s="98">
        <f>I52</f>
        <v>0.16314285714285715</v>
      </c>
      <c r="M52" s="88"/>
    </row>
    <row r="53" spans="1:14" ht="22.05" customHeight="1" x14ac:dyDescent="0.3">
      <c r="A53" s="88"/>
      <c r="C53" s="60" t="s">
        <v>119</v>
      </c>
      <c r="D53" s="98">
        <f>(1.44*(50*('Soil Index &amp; Farm Data'!$M$5)+20))/Machinery!$F$8</f>
        <v>2.0470588235294116</v>
      </c>
      <c r="E53" s="99"/>
      <c r="F53" s="98">
        <f>D53</f>
        <v>2.0470588235294116</v>
      </c>
      <c r="H53" s="60" t="s">
        <v>119</v>
      </c>
      <c r="I53" s="98">
        <f>(1.44*(50*('Soil Index &amp; Farm Data'!$M$5)+20))/Machinery!$F$8</f>
        <v>2.0470588235294116</v>
      </c>
      <c r="J53" s="98"/>
      <c r="K53" s="98">
        <f>I53</f>
        <v>2.0470588235294116</v>
      </c>
      <c r="M53" s="88"/>
    </row>
    <row r="54" spans="1:14" ht="22.05" customHeight="1" x14ac:dyDescent="0.3">
      <c r="A54" s="88"/>
      <c r="C54" s="60" t="s">
        <v>61</v>
      </c>
      <c r="D54" s="98">
        <f>(0.06+0.00069*'Crop Data'!F15)+(58.82+41.5*'Soil Index &amp; Farm Data'!$M$5+0.00626*'Crop Data'!F15)/Machinery!$F$8</f>
        <v>1.7928274509803921</v>
      </c>
      <c r="E54" s="99"/>
      <c r="F54" s="98">
        <f>D54</f>
        <v>1.7928274509803921</v>
      </c>
      <c r="H54" s="60" t="s">
        <v>61</v>
      </c>
      <c r="I54" s="98">
        <f>(0.06+0.00069*'Crop Data'!G15)+(58.82+41.5*'Soil Index &amp; Farm Data'!$M$5+0.00626*'Crop Data'!G15)/Machinery!$F$8</f>
        <v>1.8003411764705881</v>
      </c>
      <c r="J54" s="98"/>
      <c r="K54" s="98">
        <f>I54</f>
        <v>1.8003411764705881</v>
      </c>
      <c r="M54" s="88"/>
    </row>
    <row r="55" spans="1:14" ht="22.05" customHeight="1" x14ac:dyDescent="0.3">
      <c r="A55" s="88"/>
      <c r="C55" s="60" t="s">
        <v>124</v>
      </c>
      <c r="D55" s="98">
        <f>(1.5/(4*Machinery!$F$9/10))*0.85</f>
        <v>0.53125</v>
      </c>
      <c r="E55" s="99"/>
      <c r="F55" s="98">
        <f>D55</f>
        <v>0.53125</v>
      </c>
      <c r="H55" s="60" t="s">
        <v>124</v>
      </c>
      <c r="I55" s="98">
        <f>(1.5/(4*Machinery!$F$9/10))*0.85</f>
        <v>0.53125</v>
      </c>
      <c r="J55" s="98"/>
      <c r="K55" s="98">
        <f>I55</f>
        <v>0.53125</v>
      </c>
      <c r="M55" s="88"/>
    </row>
    <row r="56" spans="1:14" ht="22.05" customHeight="1" x14ac:dyDescent="0.3">
      <c r="A56" s="88"/>
      <c r="C56" s="60" t="s">
        <v>159</v>
      </c>
      <c r="D56" s="98">
        <f>((0.06+0.00025*('Crop Data'!F9))+(64.68+0.094*('Crop Data'!F9))/Machinery!$F$10)</f>
        <v>0.17597142857142856</v>
      </c>
      <c r="E56" s="99"/>
      <c r="F56" s="98">
        <f>D56</f>
        <v>0.17597142857142856</v>
      </c>
      <c r="H56" s="60" t="s">
        <v>159</v>
      </c>
      <c r="I56" s="98">
        <f>((0.06+0.00025*('Crop Data'!G9))+(64.68+0.094*('Crop Data'!G9))/Machinery!$F$10)</f>
        <v>0.16328571428571428</v>
      </c>
      <c r="J56" s="98"/>
      <c r="K56" s="98">
        <f>I56</f>
        <v>0.16328571428571428</v>
      </c>
      <c r="M56" s="88"/>
    </row>
    <row r="57" spans="1:14" ht="22.05" customHeight="1" x14ac:dyDescent="0.3">
      <c r="A57" s="88"/>
      <c r="C57" s="60" t="s">
        <v>128</v>
      </c>
      <c r="D57" s="100">
        <f>E57</f>
        <v>0.25585714285714284</v>
      </c>
      <c r="E57" s="98">
        <f>0.11+204.2/Machinery!$F$10</f>
        <v>0.25585714285714284</v>
      </c>
      <c r="F57" s="98">
        <f>E57</f>
        <v>0.25585714285714284</v>
      </c>
      <c r="H57" s="60" t="s">
        <v>128</v>
      </c>
      <c r="I57" s="100">
        <f>J57</f>
        <v>0.25585714285714284</v>
      </c>
      <c r="J57" s="98">
        <f>0.11+204.2/Machinery!$F$10</f>
        <v>0.25585714285714284</v>
      </c>
      <c r="K57" s="98">
        <f>J57</f>
        <v>0.25585714285714284</v>
      </c>
      <c r="M57" s="88"/>
    </row>
    <row r="58" spans="1:14" ht="22.05" customHeight="1" x14ac:dyDescent="0.3">
      <c r="A58" s="88"/>
      <c r="C58" s="60" t="s">
        <v>131</v>
      </c>
      <c r="D58" s="100">
        <f>E58*2</f>
        <v>1.0799208033365686</v>
      </c>
      <c r="E58" s="98">
        <f>((1*'Crop Data'!F23+20)/4)/($E$40)</f>
        <v>0.5399604016682843</v>
      </c>
      <c r="F58" s="98">
        <f>E58*3</f>
        <v>1.619881205004853</v>
      </c>
      <c r="H58" s="60" t="s">
        <v>131</v>
      </c>
      <c r="I58" s="100">
        <f>J58*2</f>
        <v>1.1437431848571771</v>
      </c>
      <c r="J58" s="98">
        <f>((1.15*'Crop Data'!G23+24)/4)/('Operations &amp; Work Rates'!E40)</f>
        <v>0.57187159242858854</v>
      </c>
      <c r="K58" s="98">
        <f>J58*3</f>
        <v>1.7156147772857655</v>
      </c>
      <c r="M58" s="88"/>
    </row>
    <row r="59" spans="1:14" ht="22.05" customHeight="1" x14ac:dyDescent="0.3">
      <c r="A59" s="88"/>
      <c r="C59" s="60" t="s">
        <v>134</v>
      </c>
      <c r="D59" s="100">
        <f>E59*2</f>
        <v>0.64796040166828439</v>
      </c>
      <c r="E59" s="98">
        <f>(('Crop Data'!F25+13)/4)/('Operations &amp; Work Rates'!$E$40)</f>
        <v>0.3239802008341422</v>
      </c>
      <c r="F59" s="98">
        <f>E59*2</f>
        <v>0.64796040166828439</v>
      </c>
      <c r="H59" s="60" t="s">
        <v>134</v>
      </c>
      <c r="I59" s="100">
        <f>J59*2</f>
        <v>0.58962747167703344</v>
      </c>
      <c r="J59" s="98">
        <f>(('Crop Data'!G25+13)/4)/('Operations &amp; Work Rates'!E40)</f>
        <v>0.29481373583851672</v>
      </c>
      <c r="K59" s="98">
        <f>J59*3</f>
        <v>0.88444120751555011</v>
      </c>
      <c r="M59" s="88"/>
      <c r="N59" s="108" t="s">
        <v>409</v>
      </c>
    </row>
    <row r="60" spans="1:14" ht="22.05" customHeight="1" x14ac:dyDescent="0.3">
      <c r="A60" s="88"/>
      <c r="M60" s="88"/>
    </row>
    <row r="61" spans="1:14" ht="22.05" customHeight="1" x14ac:dyDescent="0.3">
      <c r="A61" s="88"/>
      <c r="C61" s="73" t="s">
        <v>29</v>
      </c>
      <c r="H61" s="73" t="s">
        <v>30</v>
      </c>
      <c r="M61" s="88"/>
    </row>
    <row r="62" spans="1:14" ht="22.05" customHeight="1" x14ac:dyDescent="0.3">
      <c r="A62" s="88"/>
      <c r="C62" s="199" t="s">
        <v>113</v>
      </c>
      <c r="D62" s="201" t="s">
        <v>396</v>
      </c>
      <c r="E62" s="201"/>
      <c r="F62" s="201"/>
      <c r="G62" s="101"/>
      <c r="H62" s="199" t="s">
        <v>113</v>
      </c>
      <c r="I62" s="201" t="s">
        <v>396</v>
      </c>
      <c r="J62" s="201"/>
      <c r="K62" s="201"/>
      <c r="M62" s="88"/>
    </row>
    <row r="63" spans="1:14" ht="22.05" customHeight="1" x14ac:dyDescent="0.3">
      <c r="A63" s="88"/>
      <c r="C63" s="200"/>
      <c r="D63" s="106" t="s">
        <v>104</v>
      </c>
      <c r="E63" s="106" t="s">
        <v>114</v>
      </c>
      <c r="F63" s="106" t="s">
        <v>156</v>
      </c>
      <c r="G63" s="102"/>
      <c r="H63" s="200"/>
      <c r="I63" s="106" t="s">
        <v>104</v>
      </c>
      <c r="J63" s="106" t="s">
        <v>114</v>
      </c>
      <c r="K63" s="106" t="s">
        <v>156</v>
      </c>
      <c r="M63" s="88"/>
    </row>
    <row r="64" spans="1:14" ht="22.05" customHeight="1" x14ac:dyDescent="0.3">
      <c r="A64" s="88"/>
      <c r="C64" s="60" t="s">
        <v>116</v>
      </c>
      <c r="D64" s="98">
        <f>(0.06+0.00025*('Crop Data'!H10+'Crop Data'!H11))+(64.48+0.094*('Crop Data'!H10+'Crop Data'!H11))/Machinery!$F$10</f>
        <v>0.17265714285714284</v>
      </c>
      <c r="E64" s="99"/>
      <c r="F64" s="98">
        <f>D64</f>
        <v>0.17265714285714284</v>
      </c>
      <c r="G64" s="102"/>
      <c r="H64" s="60" t="s">
        <v>116</v>
      </c>
      <c r="I64" s="98">
        <f>(0.06+0.00025*('Crop Data'!I10+'Crop Data'!I11))+(64.48+0.094*('Crop Data'!I10+'Crop Data'!I11))/Machinery!$F$10</f>
        <v>0.16314285714285715</v>
      </c>
      <c r="J64" s="98"/>
      <c r="K64" s="98">
        <f>I64</f>
        <v>0.16314285714285715</v>
      </c>
      <c r="M64" s="88"/>
    </row>
    <row r="65" spans="1:14" ht="22.05" customHeight="1" x14ac:dyDescent="0.3">
      <c r="A65" s="88"/>
      <c r="C65" s="60" t="s">
        <v>119</v>
      </c>
      <c r="D65" s="98">
        <f>(1.44*(50*('Soil Index &amp; Farm Data'!$M$5)+20))/Machinery!$F$8</f>
        <v>2.0470588235294116</v>
      </c>
      <c r="E65" s="99"/>
      <c r="F65" s="98">
        <f>D65</f>
        <v>2.0470588235294116</v>
      </c>
      <c r="G65" s="102"/>
      <c r="H65" s="60" t="s">
        <v>119</v>
      </c>
      <c r="I65" s="98">
        <f>(1.44*(50*('Soil Index &amp; Farm Data'!$M$5)+20))/Machinery!$F$8</f>
        <v>2.0470588235294116</v>
      </c>
      <c r="J65" s="98"/>
      <c r="K65" s="98">
        <f>I65</f>
        <v>2.0470588235294116</v>
      </c>
      <c r="M65" s="88"/>
    </row>
    <row r="66" spans="1:14" ht="22.05" customHeight="1" x14ac:dyDescent="0.3">
      <c r="A66" s="88"/>
      <c r="C66" s="60" t="s">
        <v>61</v>
      </c>
      <c r="D66" s="98">
        <f>(0.06+0.00069*'Crop Data'!H15)+(58.82+41.5*'Soil Index &amp; Farm Data'!$M$5+0.00626*'Crop Data'!H15)/Machinery!F8</f>
        <v>1.7853137254901958</v>
      </c>
      <c r="E66" s="99"/>
      <c r="F66" s="98">
        <f>D66</f>
        <v>1.7853137254901958</v>
      </c>
      <c r="G66" s="102"/>
      <c r="H66" s="60" t="s">
        <v>61</v>
      </c>
      <c r="I66" s="98">
        <f>(0.06+0.00069*'Crop Data'!I15)+(58.82+41.5*'Soil Index &amp; Farm Data'!$M$5+0.00626*'Crop Data'!I15)/Machinery!$F$8</f>
        <v>1.7853137254901958</v>
      </c>
      <c r="J66" s="98"/>
      <c r="K66" s="98">
        <f>I66</f>
        <v>1.7853137254901958</v>
      </c>
      <c r="M66" s="88"/>
    </row>
    <row r="67" spans="1:14" ht="22.05" customHeight="1" x14ac:dyDescent="0.3">
      <c r="A67" s="88"/>
      <c r="C67" s="60" t="s">
        <v>124</v>
      </c>
      <c r="D67" s="98">
        <f>(1.5/(4*Machinery!$F$9/10))*0.85</f>
        <v>0.53125</v>
      </c>
      <c r="E67" s="99"/>
      <c r="F67" s="98">
        <f>D67</f>
        <v>0.53125</v>
      </c>
      <c r="G67" s="102"/>
      <c r="H67" s="60" t="s">
        <v>124</v>
      </c>
      <c r="I67" s="98">
        <f>(1.5/(4*Machinery!$F$9/10))*0.85</f>
        <v>0.53125</v>
      </c>
      <c r="J67" s="98"/>
      <c r="K67" s="98">
        <f>I67</f>
        <v>0.53125</v>
      </c>
      <c r="M67" s="88"/>
    </row>
    <row r="68" spans="1:14" ht="22.05" customHeight="1" x14ac:dyDescent="0.3">
      <c r="A68" s="88"/>
      <c r="C68" s="60" t="s">
        <v>159</v>
      </c>
      <c r="D68" s="98">
        <f>((0.06+0.00025*('Crop Data'!H9))+(64.68+0.094*('Crop Data'!H9))/Machinery!$F$10)</f>
        <v>0.16011428571428574</v>
      </c>
      <c r="E68" s="99"/>
      <c r="F68" s="98">
        <f>D68</f>
        <v>0.16011428571428574</v>
      </c>
      <c r="G68" s="102"/>
      <c r="H68" s="60" t="s">
        <v>159</v>
      </c>
      <c r="I68" s="98">
        <f>((0.06+0.00025*('Crop Data'!I9))+(64.68+0.094*('Crop Data'!I9))/Machinery!$F$10)</f>
        <v>0.15060000000000001</v>
      </c>
      <c r="J68" s="98"/>
      <c r="K68" s="98">
        <f>I68</f>
        <v>0.15060000000000001</v>
      </c>
      <c r="M68" s="88"/>
    </row>
    <row r="69" spans="1:14" ht="22.05" customHeight="1" x14ac:dyDescent="0.3">
      <c r="A69" s="88"/>
      <c r="C69" s="60" t="s">
        <v>128</v>
      </c>
      <c r="D69" s="100">
        <f>E69</f>
        <v>0.25585714285714284</v>
      </c>
      <c r="E69" s="98">
        <f>0.11+204.2/Machinery!$F$10</f>
        <v>0.25585714285714284</v>
      </c>
      <c r="F69" s="98">
        <f>E69</f>
        <v>0.25585714285714284</v>
      </c>
      <c r="G69" s="102"/>
      <c r="H69" s="60" t="s">
        <v>128</v>
      </c>
      <c r="I69" s="100">
        <f>J69</f>
        <v>0.25585714285714284</v>
      </c>
      <c r="J69" s="98">
        <f>0.11+204.2/Machinery!$F$10</f>
        <v>0.25585714285714284</v>
      </c>
      <c r="K69" s="98">
        <f>J69</f>
        <v>0.25585714285714284</v>
      </c>
      <c r="M69" s="88"/>
    </row>
    <row r="70" spans="1:14" ht="22.05" customHeight="1" x14ac:dyDescent="0.3">
      <c r="A70" s="88"/>
      <c r="C70" s="60" t="s">
        <v>131</v>
      </c>
      <c r="D70" s="100">
        <f>E70*2</f>
        <v>0.99613540439808568</v>
      </c>
      <c r="E70" s="98">
        <f>((1*'Crop Data'!H23+20)/4)/('Operations &amp; Work Rates'!E40)</f>
        <v>0.49806770219904284</v>
      </c>
      <c r="F70" s="98">
        <f>E70*3</f>
        <v>1.4942031065971286</v>
      </c>
      <c r="G70" s="102"/>
      <c r="H70" s="60" t="s">
        <v>131</v>
      </c>
      <c r="I70" s="100">
        <f>J70*2</f>
        <v>1.1191330490681091</v>
      </c>
      <c r="J70" s="98">
        <f>((1.15*'Crop Data'!I23+24)/4)/('Operations &amp; Work Rates'!E40)</f>
        <v>0.55956652453405453</v>
      </c>
      <c r="K70" s="98">
        <f>J70*3</f>
        <v>1.6786995736021635</v>
      </c>
      <c r="M70" s="88"/>
    </row>
    <row r="71" spans="1:14" ht="22.05" customHeight="1" x14ac:dyDescent="0.3">
      <c r="A71" s="88"/>
      <c r="C71" s="60" t="s">
        <v>134</v>
      </c>
      <c r="D71" s="100">
        <f>E71*2</f>
        <v>0.60606770219904282</v>
      </c>
      <c r="E71" s="98">
        <f>(('Crop Data'!H25+13)/4)/('Operations &amp; Work Rates'!E40)</f>
        <v>0.30303385109952141</v>
      </c>
      <c r="F71" s="98">
        <f>E71*2</f>
        <v>0.60606770219904282</v>
      </c>
      <c r="G71" s="102"/>
      <c r="H71" s="60" t="s">
        <v>134</v>
      </c>
      <c r="I71" s="100">
        <f>J71*3</f>
        <v>0.86839111895746257</v>
      </c>
      <c r="J71" s="98">
        <f>(('Crop Data'!I25+13)/4)/('Operations &amp; Work Rates'!E40)</f>
        <v>0.28946370631915419</v>
      </c>
      <c r="K71" s="98">
        <f>J71*3</f>
        <v>0.86839111895746257</v>
      </c>
      <c r="M71" s="88"/>
      <c r="N71" s="108" t="s">
        <v>409</v>
      </c>
    </row>
    <row r="72" spans="1:14" ht="22.05" customHeight="1" x14ac:dyDescent="0.3">
      <c r="A72" s="88"/>
      <c r="M72" s="88"/>
    </row>
    <row r="73" spans="1:14" ht="22.05" customHeight="1" x14ac:dyDescent="0.3">
      <c r="A73" s="88"/>
      <c r="C73" s="73" t="s">
        <v>31</v>
      </c>
      <c r="H73" s="73" t="s">
        <v>32</v>
      </c>
      <c r="M73" s="88"/>
    </row>
    <row r="74" spans="1:14" ht="22.05" customHeight="1" x14ac:dyDescent="0.3">
      <c r="A74" s="88"/>
      <c r="C74" s="199" t="s">
        <v>113</v>
      </c>
      <c r="D74" s="201" t="s">
        <v>396</v>
      </c>
      <c r="E74" s="201"/>
      <c r="F74" s="201"/>
      <c r="G74" s="101"/>
      <c r="H74" s="199" t="s">
        <v>113</v>
      </c>
      <c r="I74" s="201" t="s">
        <v>396</v>
      </c>
      <c r="J74" s="201"/>
      <c r="K74" s="201"/>
      <c r="M74" s="88"/>
    </row>
    <row r="75" spans="1:14" ht="22.05" customHeight="1" x14ac:dyDescent="0.3">
      <c r="A75" s="88"/>
      <c r="C75" s="200"/>
      <c r="D75" s="106" t="s">
        <v>104</v>
      </c>
      <c r="E75" s="106" t="s">
        <v>114</v>
      </c>
      <c r="F75" s="106" t="s">
        <v>156</v>
      </c>
      <c r="G75" s="102"/>
      <c r="H75" s="200"/>
      <c r="I75" s="106" t="s">
        <v>104</v>
      </c>
      <c r="J75" s="106" t="s">
        <v>114</v>
      </c>
      <c r="K75" s="106" t="s">
        <v>156</v>
      </c>
      <c r="M75" s="88"/>
    </row>
    <row r="76" spans="1:14" ht="22.05" customHeight="1" x14ac:dyDescent="0.3">
      <c r="A76" s="88"/>
      <c r="C76" s="60" t="s">
        <v>116</v>
      </c>
      <c r="D76" s="98">
        <f>(0.06+0.00025*('Crop Data'!J10+'Crop Data'!J11))+(64.48+0.094*('Crop Data'!J10+'Crop Data'!J11))/Machinery!$F$10</f>
        <v>0.15045714285714284</v>
      </c>
      <c r="E76" s="98"/>
      <c r="F76" s="98">
        <f>D76</f>
        <v>0.15045714285714284</v>
      </c>
      <c r="G76" s="102"/>
      <c r="H76" s="60" t="s">
        <v>116</v>
      </c>
      <c r="I76" s="98">
        <f>(0.06+0.00025*('Crop Data'!K10+'Crop Data'!K11))+(64.48+0.094*('Crop Data'!K10+'Crop Data'!K11))/Machinery!$F$10</f>
        <v>0.15045714285714284</v>
      </c>
      <c r="J76" s="98"/>
      <c r="K76" s="98">
        <f>I76</f>
        <v>0.15045714285714284</v>
      </c>
      <c r="M76" s="88"/>
    </row>
    <row r="77" spans="1:14" ht="22.05" customHeight="1" x14ac:dyDescent="0.3">
      <c r="A77" s="88"/>
      <c r="C77" s="60" t="s">
        <v>119</v>
      </c>
      <c r="D77" s="98">
        <f>(1.44*(50*('Soil Index &amp; Farm Data'!$M$5)+20))/Machinery!$F$8</f>
        <v>2.0470588235294116</v>
      </c>
      <c r="E77" s="98"/>
      <c r="F77" s="98">
        <f t="shared" ref="F77:F78" si="0">D77</f>
        <v>2.0470588235294116</v>
      </c>
      <c r="G77" s="102"/>
      <c r="H77" s="60" t="s">
        <v>119</v>
      </c>
      <c r="I77" s="98">
        <f>(1.44*(50*('Soil Index &amp; Farm Data'!$M$5)+20))/Machinery!$F$8</f>
        <v>2.0470588235294116</v>
      </c>
      <c r="J77" s="98"/>
      <c r="K77" s="98">
        <f t="shared" ref="K77:K78" si="1">I77</f>
        <v>2.0470588235294116</v>
      </c>
      <c r="M77" s="88"/>
    </row>
    <row r="78" spans="1:14" ht="22.05" customHeight="1" x14ac:dyDescent="0.3">
      <c r="A78" s="88"/>
      <c r="C78" s="60" t="s">
        <v>61</v>
      </c>
      <c r="D78" s="98">
        <f>((0.06+0.00069*('Crop Data'!J15))+(92.42+0.00626*('Crop Data'!J15)+41.5*('Soil Index &amp; Farm Data'!$M$5))/Machinery!F8)</f>
        <v>2.1335098039215685</v>
      </c>
      <c r="E78" s="98"/>
      <c r="F78" s="98">
        <f t="shared" si="0"/>
        <v>2.1335098039215685</v>
      </c>
      <c r="G78" s="102"/>
      <c r="H78" s="60" t="s">
        <v>61</v>
      </c>
      <c r="I78" s="98">
        <f>((0.06+0.00069*('Crop Data'!K15))+(92.42+0.00626*('Crop Data'!K15)+41.5*('Soil Index &amp; Farm Data'!$M$5))/Machinery!F8)</f>
        <v>2.1522941176470591</v>
      </c>
      <c r="J78" s="98"/>
      <c r="K78" s="98">
        <f t="shared" si="1"/>
        <v>2.1522941176470591</v>
      </c>
      <c r="M78" s="88"/>
    </row>
    <row r="79" spans="1:14" ht="22.05" customHeight="1" x14ac:dyDescent="0.3">
      <c r="A79" s="88"/>
      <c r="C79" s="60" t="s">
        <v>124</v>
      </c>
      <c r="D79" s="98">
        <f>(1.5/(4*Machinery!$F$9/10))*0.85</f>
        <v>0.53125</v>
      </c>
      <c r="E79" s="98"/>
      <c r="F79" s="98">
        <f>D79</f>
        <v>0.53125</v>
      </c>
      <c r="G79" s="102"/>
      <c r="H79" s="60" t="s">
        <v>128</v>
      </c>
      <c r="I79" s="100">
        <f>J79</f>
        <v>0.25585714285714284</v>
      </c>
      <c r="J79" s="98">
        <f>0.11+204.2/Machinery!$F$10</f>
        <v>0.25585714285714284</v>
      </c>
      <c r="K79" s="98">
        <f>J79</f>
        <v>0.25585714285714284</v>
      </c>
      <c r="M79" s="88"/>
    </row>
    <row r="80" spans="1:14" ht="22.05" customHeight="1" x14ac:dyDescent="0.3">
      <c r="A80" s="88"/>
      <c r="C80" s="60" t="s">
        <v>128</v>
      </c>
      <c r="D80" s="100">
        <f>E80</f>
        <v>0.25585714285714284</v>
      </c>
      <c r="E80" s="98">
        <f>0.11+204.2/Machinery!$F$10</f>
        <v>0.25585714285714284</v>
      </c>
      <c r="F80" s="98">
        <f>E80</f>
        <v>0.25585714285714284</v>
      </c>
      <c r="G80" s="102"/>
      <c r="H80" s="60" t="s">
        <v>131</v>
      </c>
      <c r="I80" s="100">
        <f>J80*2</f>
        <v>4.2018831000000008</v>
      </c>
      <c r="J80" s="98">
        <f>(4.05*('Crop Data'!K23+24)/4)/(E40)</f>
        <v>2.1009415500000004</v>
      </c>
      <c r="K80" s="98">
        <f>J80*3</f>
        <v>6.3028246500000016</v>
      </c>
      <c r="M80" s="88"/>
      <c r="N80" s="108" t="s">
        <v>409</v>
      </c>
    </row>
    <row r="81" spans="1:14" ht="22.05" customHeight="1" x14ac:dyDescent="0.3">
      <c r="A81" s="88"/>
      <c r="C81" s="60" t="s">
        <v>131</v>
      </c>
      <c r="D81" s="100">
        <f>E81*2</f>
        <v>4.2327881437500006</v>
      </c>
      <c r="E81" s="98">
        <f>(4.05*('Crop Data'!J23+24)/4)/(E40)</f>
        <v>2.1163940718750003</v>
      </c>
      <c r="F81" s="98">
        <f>E81*3</f>
        <v>6.3491822156250013</v>
      </c>
      <c r="G81" s="102"/>
      <c r="H81" s="102"/>
      <c r="I81" s="103"/>
      <c r="J81" s="104"/>
      <c r="K81" s="104"/>
      <c r="M81" s="88"/>
    </row>
    <row r="82" spans="1:14" ht="22.05" customHeight="1" x14ac:dyDescent="0.3">
      <c r="A82" s="88"/>
      <c r="M82" s="88"/>
    </row>
    <row r="83" spans="1:14" ht="22.05" customHeight="1" x14ac:dyDescent="0.3">
      <c r="A83" s="88"/>
      <c r="C83" s="73" t="s">
        <v>157</v>
      </c>
      <c r="H83" s="73" t="s">
        <v>289</v>
      </c>
      <c r="M83" s="88"/>
    </row>
    <row r="84" spans="1:14" ht="22.05" customHeight="1" x14ac:dyDescent="0.3">
      <c r="A84" s="88"/>
      <c r="C84" s="199" t="s">
        <v>113</v>
      </c>
      <c r="D84" s="201" t="s">
        <v>396</v>
      </c>
      <c r="E84" s="201"/>
      <c r="F84" s="201"/>
      <c r="G84" s="101"/>
      <c r="H84" s="199" t="s">
        <v>113</v>
      </c>
      <c r="I84" s="201" t="s">
        <v>396</v>
      </c>
      <c r="J84" s="201"/>
      <c r="K84" s="201"/>
      <c r="M84" s="88"/>
    </row>
    <row r="85" spans="1:14" ht="22.05" customHeight="1" x14ac:dyDescent="0.3">
      <c r="A85" s="88"/>
      <c r="C85" s="200"/>
      <c r="D85" s="106" t="s">
        <v>104</v>
      </c>
      <c r="E85" s="106" t="s">
        <v>114</v>
      </c>
      <c r="F85" s="106" t="s">
        <v>156</v>
      </c>
      <c r="G85" s="102"/>
      <c r="H85" s="200"/>
      <c r="I85" s="106" t="s">
        <v>104</v>
      </c>
      <c r="J85" s="106" t="s">
        <v>114</v>
      </c>
      <c r="K85" s="106" t="s">
        <v>156</v>
      </c>
      <c r="M85" s="88"/>
    </row>
    <row r="86" spans="1:14" ht="22.05" customHeight="1" x14ac:dyDescent="0.3">
      <c r="A86" s="88"/>
      <c r="C86" s="60" t="s">
        <v>116</v>
      </c>
      <c r="D86" s="98">
        <f>(0.06+0.00025*('Crop Data'!M10+'Crop Data'!M11))+(64.48+0.094*('Crop Data'!M10+'Crop Data'!M11))/Machinery!$F$10</f>
        <v>0.15362857142857145</v>
      </c>
      <c r="E86" s="98"/>
      <c r="F86" s="98">
        <f>D86</f>
        <v>0.15362857142857145</v>
      </c>
      <c r="G86" s="102"/>
      <c r="H86" s="60" t="s">
        <v>116</v>
      </c>
      <c r="I86" s="98">
        <f>(0.06+0.00025*('Crop Data'!N10+'Crop Data'!N11))+(64.48+0.094*('Crop Data'!N10+'Crop Data'!N11))/Machinery!$F$10</f>
        <v>0.14094285714285715</v>
      </c>
      <c r="J86" s="98"/>
      <c r="K86" s="98">
        <f>I86</f>
        <v>0.14094285714285715</v>
      </c>
      <c r="M86" s="88"/>
    </row>
    <row r="87" spans="1:14" ht="22.05" customHeight="1" x14ac:dyDescent="0.3">
      <c r="A87" s="88"/>
      <c r="C87" s="60" t="s">
        <v>119</v>
      </c>
      <c r="D87" s="98">
        <f>(1.44*(50*('Soil Index &amp; Farm Data'!$M$5)+20))/Machinery!$F$8</f>
        <v>2.0470588235294116</v>
      </c>
      <c r="E87" s="98"/>
      <c r="F87" s="98">
        <f>D87</f>
        <v>2.0470588235294116</v>
      </c>
      <c r="G87" s="102"/>
      <c r="H87" s="60" t="s">
        <v>119</v>
      </c>
      <c r="I87" s="98">
        <f>(1.44*(50*('Soil Index &amp; Farm Data'!$M$5)+20))/Machinery!$F$8</f>
        <v>2.0470588235294116</v>
      </c>
      <c r="J87" s="98"/>
      <c r="K87" s="98">
        <f>I87</f>
        <v>2.0470588235294116</v>
      </c>
      <c r="M87" s="88"/>
    </row>
    <row r="88" spans="1:14" ht="22.05" customHeight="1" x14ac:dyDescent="0.3">
      <c r="A88" s="88"/>
      <c r="C88" s="60" t="s">
        <v>61</v>
      </c>
      <c r="D88" s="98">
        <f>((0.387+0.00069*'Crop Data'!M15)+(99.42+0.00626*'Crop Data'!M15)/Machinery!F8)</f>
        <v>1.3669654901960784</v>
      </c>
      <c r="E88" s="98"/>
      <c r="F88" s="98">
        <f>D88</f>
        <v>1.3669654901960784</v>
      </c>
      <c r="G88" s="102"/>
      <c r="H88" s="60" t="s">
        <v>61</v>
      </c>
      <c r="I88" s="98">
        <f>(0.94*((0.06+0.00069*'Crop Data'!N15)+(99.42+0.00626*'Crop Data'!N15+(41.5*'Soil Index &amp; Farm Data'!$M$5))/Machinery!F8))</f>
        <v>1.9329887215686274</v>
      </c>
      <c r="J88" s="98"/>
      <c r="K88" s="98">
        <f>I88</f>
        <v>1.9329887215686274</v>
      </c>
      <c r="M88" s="88"/>
    </row>
    <row r="89" spans="1:14" ht="22.05" customHeight="1" x14ac:dyDescent="0.3">
      <c r="A89" s="88"/>
      <c r="C89" s="60" t="s">
        <v>159</v>
      </c>
      <c r="D89" s="98">
        <f>((0.06+0.00025*('Crop Data'!M9))+(64.68+0.094*('Crop Data'!M9))/Machinery!F10)</f>
        <v>0.16645714285714286</v>
      </c>
      <c r="E89" s="98"/>
      <c r="F89" s="98">
        <f>D89</f>
        <v>0.16645714285714286</v>
      </c>
      <c r="G89" s="102"/>
      <c r="H89" s="60" t="s">
        <v>159</v>
      </c>
      <c r="I89" s="98">
        <f>((0.06+0.00025*('Crop Data'!N9))+(64.68+0.094*('Crop Data'!N9))/Machinery!F10)</f>
        <v>0.14425714285714286</v>
      </c>
      <c r="J89" s="98"/>
      <c r="K89" s="98">
        <f>I89</f>
        <v>0.14425714285714286</v>
      </c>
      <c r="M89" s="88"/>
    </row>
    <row r="90" spans="1:14" ht="22.05" customHeight="1" x14ac:dyDescent="0.3">
      <c r="A90" s="88"/>
      <c r="C90" s="60" t="s">
        <v>128</v>
      </c>
      <c r="D90" s="100">
        <f>E90</f>
        <v>0.25585714285714284</v>
      </c>
      <c r="E90" s="98">
        <f>0.11+204.2/Machinery!$F$10</f>
        <v>0.25585714285714284</v>
      </c>
      <c r="F90" s="98">
        <f>E90</f>
        <v>0.25585714285714284</v>
      </c>
      <c r="G90" s="102"/>
      <c r="H90" s="60" t="s">
        <v>128</v>
      </c>
      <c r="I90" s="100">
        <f>J90</f>
        <v>0.25585714285714284</v>
      </c>
      <c r="J90" s="98">
        <f>0.11+204.2/Machinery!$F$10</f>
        <v>0.25585714285714284</v>
      </c>
      <c r="K90" s="98">
        <f>J90</f>
        <v>0.25585714285714284</v>
      </c>
      <c r="M90" s="88"/>
    </row>
    <row r="91" spans="1:14" ht="22.05" customHeight="1" x14ac:dyDescent="0.3">
      <c r="A91" s="88"/>
      <c r="C91" s="60" t="s">
        <v>131</v>
      </c>
      <c r="D91" s="98">
        <f>E91*2</f>
        <v>4.0122643160951998</v>
      </c>
      <c r="E91" s="98">
        <f>((4.05*('Crop Data'!M23+24)/4)/'Operations &amp; Work Rates'!E40)</f>
        <v>2.0061321580475999</v>
      </c>
      <c r="F91" s="98">
        <f>E91*3</f>
        <v>6.0183964741427998</v>
      </c>
      <c r="G91" s="102"/>
      <c r="H91" s="60" t="s">
        <v>131</v>
      </c>
      <c r="I91" s="98">
        <f>J91*2</f>
        <v>3.8130472187127484</v>
      </c>
      <c r="J91" s="98">
        <f>((4.05*('Crop Data'!N23+24)/4)/'Operations &amp; Work Rates'!E40)</f>
        <v>1.9065236093563742</v>
      </c>
      <c r="K91" s="98">
        <f>J91*3</f>
        <v>5.7195708280691226</v>
      </c>
      <c r="M91" s="88"/>
      <c r="N91" s="108" t="s">
        <v>409</v>
      </c>
    </row>
    <row r="92" spans="1:14" ht="22.05" customHeight="1" x14ac:dyDescent="0.3">
      <c r="A92" s="88"/>
      <c r="C92" s="102"/>
      <c r="D92" s="102"/>
      <c r="E92" s="102"/>
      <c r="F92" s="102"/>
      <c r="G92" s="102"/>
      <c r="H92" s="102"/>
      <c r="I92" s="104"/>
      <c r="J92" s="104"/>
      <c r="K92" s="104"/>
      <c r="M92" s="88"/>
    </row>
    <row r="93" spans="1:14" ht="22.05" customHeight="1" x14ac:dyDescent="0.3">
      <c r="A93" s="88"/>
      <c r="C93" s="105" t="s">
        <v>33</v>
      </c>
      <c r="D93" s="102"/>
      <c r="E93" s="102"/>
      <c r="F93" s="102"/>
      <c r="G93" s="102"/>
      <c r="H93" s="105" t="s">
        <v>35</v>
      </c>
      <c r="I93" s="102"/>
      <c r="J93" s="102"/>
      <c r="K93" s="102"/>
      <c r="M93" s="88"/>
    </row>
    <row r="94" spans="1:14" ht="22.05" customHeight="1" x14ac:dyDescent="0.3">
      <c r="A94" s="88"/>
      <c r="C94" s="199" t="s">
        <v>113</v>
      </c>
      <c r="D94" s="201" t="s">
        <v>396</v>
      </c>
      <c r="E94" s="201"/>
      <c r="F94" s="201"/>
      <c r="G94" s="102"/>
      <c r="H94" s="199" t="s">
        <v>113</v>
      </c>
      <c r="I94" s="201" t="s">
        <v>396</v>
      </c>
      <c r="J94" s="201"/>
      <c r="K94" s="201"/>
      <c r="M94" s="88"/>
    </row>
    <row r="95" spans="1:14" ht="22.05" customHeight="1" x14ac:dyDescent="0.3">
      <c r="A95" s="88"/>
      <c r="C95" s="200"/>
      <c r="D95" s="106" t="s">
        <v>104</v>
      </c>
      <c r="E95" s="106" t="s">
        <v>114</v>
      </c>
      <c r="F95" s="106" t="s">
        <v>156</v>
      </c>
      <c r="G95" s="102"/>
      <c r="H95" s="200"/>
      <c r="I95" s="106" t="s">
        <v>104</v>
      </c>
      <c r="J95" s="106" t="s">
        <v>114</v>
      </c>
      <c r="K95" s="106" t="s">
        <v>156</v>
      </c>
      <c r="M95" s="88"/>
    </row>
    <row r="96" spans="1:14" ht="22.05" customHeight="1" x14ac:dyDescent="0.3">
      <c r="A96" s="88"/>
      <c r="C96" s="60" t="s">
        <v>119</v>
      </c>
      <c r="D96" s="98">
        <f>(1.8*(50*('Soil Index &amp; Farm Data'!$M$5)+20))/Machinery!$F$8</f>
        <v>2.5588235294117645</v>
      </c>
      <c r="E96" s="98"/>
      <c r="F96" s="98">
        <f>D96</f>
        <v>2.5588235294117645</v>
      </c>
      <c r="G96" s="102"/>
      <c r="H96" s="60" t="s">
        <v>119</v>
      </c>
      <c r="I96" s="98">
        <f>(1.8*(50*('Soil Index &amp; Farm Data'!$M$5)+20))/Machinery!F8</f>
        <v>2.5588235294117645</v>
      </c>
      <c r="J96" s="98"/>
      <c r="K96" s="98">
        <f>I96</f>
        <v>2.5588235294117645</v>
      </c>
      <c r="M96" s="88"/>
    </row>
    <row r="97" spans="1:14" ht="22.05" customHeight="1" x14ac:dyDescent="0.3">
      <c r="A97" s="88"/>
      <c r="C97" s="60" t="s">
        <v>138</v>
      </c>
      <c r="D97" s="98">
        <f>E97</f>
        <v>0.93627450980392157</v>
      </c>
      <c r="E97" s="98">
        <f>((25*'Soil Index &amp; Farm Data'!$M$5+33)/Machinery!F8)</f>
        <v>0.93627450980392157</v>
      </c>
      <c r="F97" s="98">
        <f>E97</f>
        <v>0.93627450980392157</v>
      </c>
      <c r="G97" s="102"/>
      <c r="H97" s="60" t="s">
        <v>138</v>
      </c>
      <c r="I97" s="98">
        <f>J97</f>
        <v>0.93627450980392157</v>
      </c>
      <c r="J97" s="98">
        <f>((25*'Soil Index &amp; Farm Data'!$M$5+33)/Machinery!F8)</f>
        <v>0.93627450980392157</v>
      </c>
      <c r="K97" s="98">
        <f>J97</f>
        <v>0.93627450980392157</v>
      </c>
      <c r="M97" s="88"/>
    </row>
    <row r="98" spans="1:14" ht="22.05" customHeight="1" x14ac:dyDescent="0.3">
      <c r="A98" s="88"/>
      <c r="C98" s="60" t="s">
        <v>61</v>
      </c>
      <c r="D98" s="98">
        <f>(0.39+157/Machinery!F8)</f>
        <v>1.9292156862745098</v>
      </c>
      <c r="E98" s="98"/>
      <c r="F98" s="98">
        <f>D98</f>
        <v>1.9292156862745098</v>
      </c>
      <c r="G98" s="102"/>
      <c r="H98" s="60" t="s">
        <v>61</v>
      </c>
      <c r="I98" s="98">
        <f>(0.39+157/Machinery!F8)</f>
        <v>1.9292156862745098</v>
      </c>
      <c r="J98" s="98"/>
      <c r="K98" s="98">
        <f>I98</f>
        <v>1.9292156862745098</v>
      </c>
      <c r="M98" s="88"/>
    </row>
    <row r="99" spans="1:14" ht="22.05" customHeight="1" x14ac:dyDescent="0.3">
      <c r="A99" s="88"/>
      <c r="C99" s="60" t="s">
        <v>163</v>
      </c>
      <c r="D99" s="98">
        <f>(40*'Soil Index &amp; Farm Data'!$M$5+33)/Machinery!F8</f>
        <v>1.303921568627451</v>
      </c>
      <c r="E99" s="98"/>
      <c r="F99" s="98">
        <f>D99</f>
        <v>1.303921568627451</v>
      </c>
      <c r="G99" s="102"/>
      <c r="H99" s="60" t="s">
        <v>128</v>
      </c>
      <c r="I99" s="100">
        <f>J99</f>
        <v>0.25585714285714284</v>
      </c>
      <c r="J99" s="98">
        <f>0.11+204.2/Machinery!$F$10</f>
        <v>0.25585714285714284</v>
      </c>
      <c r="K99" s="98">
        <f>J99</f>
        <v>0.25585714285714284</v>
      </c>
      <c r="M99" s="88"/>
    </row>
    <row r="100" spans="1:14" ht="22.05" customHeight="1" x14ac:dyDescent="0.3">
      <c r="A100" s="88"/>
      <c r="C100" s="60" t="s">
        <v>116</v>
      </c>
      <c r="D100" s="98">
        <f>(0.06+0.00025*('Crop Data'!L10+'Crop Data'!L11))+(64.48+0.094*('Crop Data'!L10+'Crop Data'!L11))/Machinery!$F$10</f>
        <v>0.27731428571428574</v>
      </c>
      <c r="E100" s="98"/>
      <c r="F100" s="98">
        <f>D100</f>
        <v>0.27731428571428574</v>
      </c>
      <c r="G100" s="102"/>
      <c r="H100" s="60" t="s">
        <v>116</v>
      </c>
      <c r="I100" s="98">
        <f>(0.06+0.00025*('Crop Data'!O10+'Crop Data'!O11))+(64.48+0.094*('Crop Data'!O10+'Crop Data'!O11))/Machinery!$F$10</f>
        <v>0.17265714285714284</v>
      </c>
      <c r="J100" s="98"/>
      <c r="K100" s="98">
        <f>I100</f>
        <v>0.17265714285714284</v>
      </c>
      <c r="M100" s="88"/>
    </row>
    <row r="101" spans="1:14" ht="22.05" customHeight="1" x14ac:dyDescent="0.3">
      <c r="A101" s="88"/>
      <c r="C101" s="60" t="s">
        <v>159</v>
      </c>
      <c r="D101" s="98">
        <f>((0.06+0.00025*('Crop Data'!L9))+(64.68+0.094*('Crop Data'!L9))/Machinery!F10)</f>
        <v>0.17597142857142856</v>
      </c>
      <c r="E101" s="98"/>
      <c r="F101" s="98">
        <f>D101</f>
        <v>0.17597142857142856</v>
      </c>
      <c r="G101" s="102"/>
      <c r="H101" s="60" t="s">
        <v>159</v>
      </c>
      <c r="I101" s="98">
        <f>((0.06+0.00025*('Crop Data'!O9))+(64.68+0.094*('Crop Data'!O9))/Machinery!F10)</f>
        <v>0.13791428571428571</v>
      </c>
      <c r="J101" s="98"/>
      <c r="K101" s="98">
        <f>I101</f>
        <v>0.13791428571428571</v>
      </c>
      <c r="M101" s="88"/>
    </row>
    <row r="102" spans="1:14" ht="22.05" customHeight="1" x14ac:dyDescent="0.3">
      <c r="A102" s="88"/>
      <c r="C102" s="60" t="s">
        <v>128</v>
      </c>
      <c r="D102" s="100">
        <f>E102</f>
        <v>0.25585714285714284</v>
      </c>
      <c r="E102" s="98">
        <f>0.11+204.2/Machinery!F10</f>
        <v>0.25585714285714284</v>
      </c>
      <c r="F102" s="98">
        <f>E102</f>
        <v>0.25585714285714284</v>
      </c>
      <c r="G102" s="102"/>
      <c r="H102" s="60" t="s">
        <v>160</v>
      </c>
      <c r="I102" s="98">
        <f>1/($E$42*$E$43/10*0.8)</f>
        <v>1.0964912280701753</v>
      </c>
      <c r="J102" s="98"/>
      <c r="K102" s="98">
        <f>I102</f>
        <v>1.0964912280701753</v>
      </c>
      <c r="M102" s="88"/>
    </row>
    <row r="103" spans="1:14" ht="22.05" customHeight="1" x14ac:dyDescent="0.3">
      <c r="A103" s="88"/>
      <c r="C103" s="60" t="s">
        <v>160</v>
      </c>
      <c r="D103" s="98">
        <f>1/($E$42*$E$43/10*0.8)</f>
        <v>1.0964912280701753</v>
      </c>
      <c r="E103" s="98"/>
      <c r="F103" s="98">
        <f>D103</f>
        <v>1.0964912280701753</v>
      </c>
      <c r="G103" s="102"/>
      <c r="H103" s="60" t="s">
        <v>158</v>
      </c>
      <c r="I103" s="98">
        <f>J103*3</f>
        <v>2.4393862503736807</v>
      </c>
      <c r="J103" s="98">
        <f>((403/600)+2/(3*(1.25+0.51*'Soil Index &amp; Farm Data'!$M$5)*('Crop Data'!O23/37.728)))</f>
        <v>0.81312875012456032</v>
      </c>
      <c r="K103" s="98">
        <f>J103*3</f>
        <v>2.4393862503736807</v>
      </c>
      <c r="M103" s="88"/>
      <c r="N103" s="108" t="s">
        <v>409</v>
      </c>
    </row>
    <row r="104" spans="1:14" ht="22.05" customHeight="1" x14ac:dyDescent="0.3">
      <c r="A104" s="88"/>
      <c r="C104" s="60" t="s">
        <v>158</v>
      </c>
      <c r="D104" s="98">
        <f>E104*3</f>
        <v>2.6667026903374333</v>
      </c>
      <c r="E104" s="98">
        <f>((403/600)+2/(3*(1.25+0.51*'Soil Index &amp; Farm Data'!$M$5)*('Crop Data'!L23/37.728)))</f>
        <v>0.88890089677914452</v>
      </c>
      <c r="F104" s="98">
        <f>E104*3</f>
        <v>2.6667026903374333</v>
      </c>
      <c r="G104" s="102"/>
      <c r="H104" s="102"/>
      <c r="I104" s="102"/>
      <c r="J104" s="102"/>
      <c r="K104" s="102"/>
      <c r="M104" s="88"/>
    </row>
    <row r="105" spans="1:14" ht="22.05" customHeight="1" x14ac:dyDescent="0.3">
      <c r="A105" s="88"/>
      <c r="C105" s="102"/>
      <c r="D105" s="102"/>
      <c r="E105" s="102"/>
      <c r="F105" s="102"/>
      <c r="G105" s="102"/>
      <c r="H105" s="102"/>
      <c r="I105" s="102"/>
      <c r="J105" s="102"/>
      <c r="K105" s="102"/>
      <c r="M105" s="88"/>
    </row>
    <row r="106" spans="1:14" ht="22.05" customHeight="1" x14ac:dyDescent="0.3">
      <c r="A106" s="88"/>
      <c r="C106" s="105" t="s">
        <v>208</v>
      </c>
      <c r="D106" s="102"/>
      <c r="E106" s="102"/>
      <c r="F106" s="102"/>
      <c r="G106" s="102"/>
      <c r="H106" s="105" t="s">
        <v>209</v>
      </c>
      <c r="I106" s="102"/>
      <c r="J106" s="102"/>
      <c r="K106" s="102"/>
      <c r="M106" s="88"/>
    </row>
    <row r="107" spans="1:14" ht="22.05" customHeight="1" x14ac:dyDescent="0.3">
      <c r="A107" s="88"/>
      <c r="C107" s="199" t="s">
        <v>113</v>
      </c>
      <c r="D107" s="201" t="s">
        <v>396</v>
      </c>
      <c r="E107" s="201"/>
      <c r="F107" s="201"/>
      <c r="G107" s="102"/>
      <c r="H107" s="199" t="s">
        <v>113</v>
      </c>
      <c r="I107" s="201" t="s">
        <v>396</v>
      </c>
      <c r="J107" s="201"/>
      <c r="K107" s="201"/>
      <c r="M107" s="88"/>
    </row>
    <row r="108" spans="1:14" ht="22.05" customHeight="1" x14ac:dyDescent="0.3">
      <c r="A108" s="88"/>
      <c r="C108" s="200"/>
      <c r="D108" s="106" t="s">
        <v>104</v>
      </c>
      <c r="E108" s="106" t="s">
        <v>114</v>
      </c>
      <c r="F108" s="106" t="s">
        <v>156</v>
      </c>
      <c r="G108" s="102"/>
      <c r="H108" s="200"/>
      <c r="I108" s="106" t="s">
        <v>104</v>
      </c>
      <c r="J108" s="106" t="s">
        <v>114</v>
      </c>
      <c r="K108" s="106" t="s">
        <v>156</v>
      </c>
      <c r="M108" s="88"/>
    </row>
    <row r="109" spans="1:14" ht="22.05" customHeight="1" x14ac:dyDescent="0.3">
      <c r="A109" s="88"/>
      <c r="C109" s="60" t="s">
        <v>116</v>
      </c>
      <c r="D109" s="98">
        <f>(0.06+0.00025*('Crop Data'!Q10+'Crop Data'!Q11))+(64.48+0.094*('Crop Data'!Q10+'Crop Data'!Q11))/Machinery!$F$10</f>
        <v>0.14094285714285715</v>
      </c>
      <c r="E109" s="98"/>
      <c r="F109" s="98">
        <f>D109</f>
        <v>0.14094285714285715</v>
      </c>
      <c r="G109" s="102"/>
      <c r="H109" s="60" t="s">
        <v>116</v>
      </c>
      <c r="I109" s="98">
        <f>(0.06+0.00025*('Crop Data'!R10+'Crop Data'!R11))+(64.48+0.094*('Crop Data'!R10+'Crop Data'!R11))/Machinery!$F$10</f>
        <v>0.14094285714285715</v>
      </c>
      <c r="J109" s="98"/>
      <c r="K109" s="98">
        <f>I109</f>
        <v>0.14094285714285715</v>
      </c>
      <c r="M109" s="88"/>
    </row>
    <row r="110" spans="1:14" ht="22.05" customHeight="1" x14ac:dyDescent="0.3">
      <c r="A110" s="88"/>
      <c r="C110" s="60" t="s">
        <v>119</v>
      </c>
      <c r="D110" s="98">
        <f>(1.44*(50*('Soil Index &amp; Farm Data'!$M$5)+20))/Machinery!$F$8</f>
        <v>2.0470588235294116</v>
      </c>
      <c r="E110" s="98"/>
      <c r="F110" s="98">
        <f>D110</f>
        <v>2.0470588235294116</v>
      </c>
      <c r="G110" s="102"/>
      <c r="H110" s="60" t="s">
        <v>119</v>
      </c>
      <c r="I110" s="98">
        <f>(1.44*(50*('Soil Index &amp; Farm Data'!$M$5)+20))/Machinery!$F$8</f>
        <v>2.0470588235294116</v>
      </c>
      <c r="J110" s="98"/>
      <c r="K110" s="98">
        <f>I110</f>
        <v>2.0470588235294116</v>
      </c>
      <c r="M110" s="88"/>
    </row>
    <row r="111" spans="1:14" ht="22.05" customHeight="1" x14ac:dyDescent="0.3">
      <c r="A111" s="88"/>
      <c r="C111" s="60" t="s">
        <v>61</v>
      </c>
      <c r="D111" s="98">
        <f>((0.387+0.00069*'Crop Data'!Q15)+(99.42+0.00626*'Crop Data'!Q15)/Machinery!F8)</f>
        <v>1.4180588235294118</v>
      </c>
      <c r="E111" s="98"/>
      <c r="F111" s="98">
        <f>D111</f>
        <v>1.4180588235294118</v>
      </c>
      <c r="G111" s="102"/>
      <c r="H111" s="60" t="s">
        <v>61</v>
      </c>
      <c r="I111" s="98">
        <f>(0.94*((0.06+0.00069*'Crop Data'!R15)+(99.42+0.00626*'Crop Data'!R15+(41.5*'Soil Index &amp; Farm Data'!$M$5))/Machinery!F8))</f>
        <v>1.9852541960784311</v>
      </c>
      <c r="J111" s="98"/>
      <c r="K111" s="98">
        <f>I111</f>
        <v>1.9852541960784311</v>
      </c>
      <c r="M111" s="88"/>
    </row>
    <row r="112" spans="1:14" ht="22.05" customHeight="1" x14ac:dyDescent="0.3">
      <c r="A112" s="88"/>
      <c r="C112" s="60" t="s">
        <v>159</v>
      </c>
      <c r="D112" s="98">
        <f>((0.06+0.00025*('Crop Data'!Q9))+(64.68+0.094*('Crop Data'!Q9))/Machinery!F10)</f>
        <v>0.13157142857142856</v>
      </c>
      <c r="E112" s="98"/>
      <c r="F112" s="98">
        <f>D112</f>
        <v>0.13157142857142856</v>
      </c>
      <c r="G112" s="102"/>
      <c r="H112" s="60" t="s">
        <v>159</v>
      </c>
      <c r="I112" s="98">
        <f>((0.06+0.00025*('Crop Data'!R9))+(64.68+0.094*('Crop Data'!R9))/Machinery!F10)</f>
        <v>0.13157142857142856</v>
      </c>
      <c r="J112" s="98"/>
      <c r="K112" s="98">
        <f>I112</f>
        <v>0.13157142857142856</v>
      </c>
      <c r="M112" s="88"/>
    </row>
    <row r="113" spans="1:14" ht="22.05" customHeight="1" x14ac:dyDescent="0.3">
      <c r="A113" s="88"/>
      <c r="C113" s="60" t="s">
        <v>128</v>
      </c>
      <c r="D113" s="100">
        <f>E113</f>
        <v>0.25585714285714284</v>
      </c>
      <c r="E113" s="98">
        <f>0.11+204.2/Machinery!$F$10</f>
        <v>0.25585714285714284</v>
      </c>
      <c r="F113" s="98">
        <f>E113</f>
        <v>0.25585714285714284</v>
      </c>
      <c r="G113" s="102"/>
      <c r="H113" s="60" t="s">
        <v>128</v>
      </c>
      <c r="I113" s="100">
        <f>J113</f>
        <v>0.25585714285714284</v>
      </c>
      <c r="J113" s="98">
        <f>0.11+204.2/Machinery!$F$10</f>
        <v>0.25585714285714284</v>
      </c>
      <c r="K113" s="98">
        <f>J113</f>
        <v>0.25585714285714284</v>
      </c>
      <c r="M113" s="88"/>
    </row>
    <row r="114" spans="1:14" ht="22.05" customHeight="1" x14ac:dyDescent="0.3">
      <c r="A114" s="88"/>
      <c r="C114" s="60" t="s">
        <v>131</v>
      </c>
      <c r="D114" s="98">
        <f>E114*2</f>
        <v>3.8545875000000001</v>
      </c>
      <c r="E114" s="98">
        <f>((4.05*('Crop Data'!Q23+24)/4)/'Operations &amp; Work Rates'!E40)</f>
        <v>1.92729375</v>
      </c>
      <c r="F114" s="98">
        <f>E114*3</f>
        <v>5.7818812499999996</v>
      </c>
      <c r="G114" s="102"/>
      <c r="H114" s="60" t="s">
        <v>131</v>
      </c>
      <c r="I114" s="98">
        <f>J114*2</f>
        <v>3.7835100000000002</v>
      </c>
      <c r="J114" s="98">
        <f>((4.05*('Crop Data'!R23+24)/4)/'Operations &amp; Work Rates'!E40)</f>
        <v>1.8917550000000001</v>
      </c>
      <c r="K114" s="98">
        <f>J114*3</f>
        <v>5.6752650000000004</v>
      </c>
      <c r="M114" s="88"/>
      <c r="N114" s="108" t="s">
        <v>409</v>
      </c>
    </row>
    <row r="115" spans="1:14" ht="22.05" customHeight="1" x14ac:dyDescent="0.3">
      <c r="A115" s="88"/>
      <c r="C115" s="102"/>
      <c r="D115" s="102"/>
      <c r="E115" s="102"/>
      <c r="F115" s="102"/>
      <c r="G115" s="102"/>
      <c r="H115" s="102"/>
      <c r="I115" s="102"/>
      <c r="J115" s="102"/>
      <c r="K115" s="102"/>
      <c r="M115" s="88"/>
    </row>
    <row r="116" spans="1:14" ht="22.05" customHeight="1" x14ac:dyDescent="0.3">
      <c r="A116" s="88"/>
      <c r="C116" s="105" t="s">
        <v>210</v>
      </c>
      <c r="D116" s="102"/>
      <c r="E116" s="102"/>
      <c r="F116" s="102"/>
      <c r="G116" s="102"/>
      <c r="H116" s="105" t="s">
        <v>161</v>
      </c>
      <c r="I116" s="102"/>
      <c r="J116" s="102"/>
      <c r="K116" s="102"/>
      <c r="M116" s="88"/>
    </row>
    <row r="117" spans="1:14" ht="22.05" customHeight="1" x14ac:dyDescent="0.3">
      <c r="A117" s="88"/>
      <c r="C117" s="199" t="s">
        <v>113</v>
      </c>
      <c r="D117" s="201" t="s">
        <v>396</v>
      </c>
      <c r="E117" s="201"/>
      <c r="F117" s="201"/>
      <c r="G117" s="102"/>
      <c r="H117" s="199" t="s">
        <v>113</v>
      </c>
      <c r="I117" s="201" t="s">
        <v>396</v>
      </c>
      <c r="J117" s="201"/>
      <c r="K117" s="201"/>
      <c r="M117" s="88"/>
    </row>
    <row r="118" spans="1:14" ht="22.05" customHeight="1" x14ac:dyDescent="0.3">
      <c r="A118" s="88"/>
      <c r="C118" s="200"/>
      <c r="D118" s="106" t="s">
        <v>104</v>
      </c>
      <c r="E118" s="106" t="s">
        <v>114</v>
      </c>
      <c r="F118" s="106" t="s">
        <v>156</v>
      </c>
      <c r="G118" s="102"/>
      <c r="H118" s="200"/>
      <c r="I118" s="106" t="s">
        <v>104</v>
      </c>
      <c r="J118" s="106" t="s">
        <v>114</v>
      </c>
      <c r="K118" s="106" t="s">
        <v>156</v>
      </c>
      <c r="M118" s="88"/>
    </row>
    <row r="119" spans="1:14" ht="22.05" customHeight="1" x14ac:dyDescent="0.3">
      <c r="A119" s="88"/>
      <c r="C119" s="60" t="s">
        <v>116</v>
      </c>
      <c r="D119" s="98">
        <f>(0.06+0.00025*('Crop Data'!S10+'Crop Data'!S11))+(64.48+0.094*('Crop Data'!S10+'Crop Data'!S11))/Machinery!$F$10</f>
        <v>0.15045714285714284</v>
      </c>
      <c r="E119" s="98"/>
      <c r="F119" s="98">
        <f>D119</f>
        <v>0.15045714285714284</v>
      </c>
      <c r="G119" s="102"/>
      <c r="H119" s="60" t="s">
        <v>119</v>
      </c>
      <c r="I119" s="98">
        <f>(1.44*(50*('Soil Index &amp; Farm Data'!$M$5)+20))/Machinery!$F$8</f>
        <v>2.0470588235294116</v>
      </c>
      <c r="J119" s="99"/>
      <c r="K119" s="99">
        <f>I119</f>
        <v>2.0470588235294116</v>
      </c>
      <c r="M119" s="88"/>
    </row>
    <row r="120" spans="1:14" ht="22.05" customHeight="1" x14ac:dyDescent="0.3">
      <c r="A120" s="88"/>
      <c r="C120" s="60" t="s">
        <v>119</v>
      </c>
      <c r="D120" s="98">
        <f>(1.44*(50*('Soil Index &amp; Farm Data'!$M$5)+20))/Machinery!$F$8</f>
        <v>2.0470588235294116</v>
      </c>
      <c r="E120" s="98"/>
      <c r="F120" s="98">
        <f>D120</f>
        <v>2.0470588235294116</v>
      </c>
      <c r="G120" s="102"/>
      <c r="H120" s="60" t="s">
        <v>128</v>
      </c>
      <c r="I120" s="100">
        <f>J120</f>
        <v>0.25585714285714284</v>
      </c>
      <c r="J120" s="98">
        <f>0.11+204.2/Machinery!$F$10</f>
        <v>0.25585714285714284</v>
      </c>
      <c r="K120" s="98">
        <f>J120</f>
        <v>0.25585714285714284</v>
      </c>
      <c r="M120" s="88"/>
    </row>
    <row r="121" spans="1:14" ht="22.05" customHeight="1" x14ac:dyDescent="0.3">
      <c r="A121" s="88"/>
      <c r="C121" s="60" t="s">
        <v>61</v>
      </c>
      <c r="D121" s="98">
        <f>(0.06+0.00069*'Crop Data'!S15)+(92.42+0.00626*('Crop Data'!S15)+41.5*('Soil Index &amp; Farm Data'!$M$5))/Machinery!F8</f>
        <v>2.1560509803921568</v>
      </c>
      <c r="E121" s="98"/>
      <c r="F121" s="98">
        <f>D121</f>
        <v>2.1560509803921568</v>
      </c>
      <c r="G121" s="102"/>
      <c r="H121" s="102"/>
      <c r="I121" s="102"/>
      <c r="J121" s="102"/>
      <c r="K121" s="102"/>
      <c r="M121" s="88"/>
    </row>
    <row r="122" spans="1:14" ht="22.05" customHeight="1" x14ac:dyDescent="0.3">
      <c r="A122" s="88"/>
      <c r="C122" s="60" t="s">
        <v>128</v>
      </c>
      <c r="D122" s="100">
        <f>E122</f>
        <v>0.25585714285714284</v>
      </c>
      <c r="E122" s="98">
        <f>0.11+204.2/Machinery!$F$10</f>
        <v>0.25585714285714284</v>
      </c>
      <c r="F122" s="98">
        <f>E122</f>
        <v>0.25585714285714284</v>
      </c>
      <c r="G122" s="102"/>
      <c r="H122" s="102"/>
      <c r="I122" s="102"/>
      <c r="J122" s="102"/>
      <c r="K122" s="102"/>
      <c r="M122" s="88"/>
    </row>
    <row r="123" spans="1:14" ht="22.05" customHeight="1" x14ac:dyDescent="0.3">
      <c r="A123" s="88"/>
      <c r="C123" s="60" t="s">
        <v>131</v>
      </c>
      <c r="D123" s="98">
        <f>E123*2</f>
        <v>1.318987125</v>
      </c>
      <c r="E123" s="98">
        <f>((4.05*('Crop Data'!S23)+24)/4)/'Operations &amp; Work Rates'!E40</f>
        <v>0.65949356250000002</v>
      </c>
      <c r="F123" s="98">
        <f>E123*3</f>
        <v>1.9784806875000001</v>
      </c>
      <c r="G123" s="102"/>
      <c r="H123" s="102"/>
      <c r="I123" s="102"/>
      <c r="J123" s="102"/>
      <c r="K123" s="102"/>
      <c r="M123" s="88"/>
      <c r="N123" s="108" t="s">
        <v>409</v>
      </c>
    </row>
    <row r="124" spans="1:14" ht="22.05" customHeight="1" x14ac:dyDescent="0.3">
      <c r="A124" s="88"/>
      <c r="C124" s="102"/>
      <c r="D124" s="104"/>
      <c r="E124" s="104"/>
      <c r="F124" s="104"/>
      <c r="G124" s="102"/>
      <c r="H124" s="102"/>
      <c r="I124" s="102"/>
      <c r="J124" s="102"/>
      <c r="K124" s="102"/>
      <c r="M124" s="88"/>
    </row>
    <row r="125" spans="1:14" ht="22.05" customHeight="1" x14ac:dyDescent="0.3">
      <c r="A125" s="88"/>
      <c r="C125" s="105" t="s">
        <v>393</v>
      </c>
      <c r="D125" s="102"/>
      <c r="E125" s="102"/>
      <c r="F125" s="102"/>
      <c r="G125" s="102"/>
      <c r="H125" s="102"/>
      <c r="I125" s="102"/>
      <c r="J125" s="102"/>
      <c r="K125" s="102"/>
      <c r="M125" s="88"/>
    </row>
    <row r="126" spans="1:14" ht="22.05" customHeight="1" x14ac:dyDescent="0.3">
      <c r="A126" s="88"/>
      <c r="C126" s="206" t="s">
        <v>164</v>
      </c>
      <c r="D126" s="204" t="s">
        <v>396</v>
      </c>
      <c r="E126" s="205"/>
      <c r="F126" s="205"/>
      <c r="G126" s="102"/>
      <c r="H126" s="102"/>
      <c r="I126" s="102"/>
      <c r="J126" s="102"/>
      <c r="K126" s="102"/>
      <c r="M126" s="88"/>
    </row>
    <row r="127" spans="1:14" ht="22.05" customHeight="1" x14ac:dyDescent="0.3">
      <c r="A127" s="88"/>
      <c r="C127" s="206"/>
      <c r="D127" s="106" t="s">
        <v>104</v>
      </c>
      <c r="E127" s="106" t="s">
        <v>114</v>
      </c>
      <c r="F127" s="106" t="s">
        <v>156</v>
      </c>
      <c r="G127" s="102"/>
      <c r="H127" s="102"/>
      <c r="I127" s="102"/>
      <c r="J127" s="102"/>
      <c r="K127" s="102"/>
      <c r="M127" s="88"/>
    </row>
    <row r="128" spans="1:14" ht="22.05" customHeight="1" x14ac:dyDescent="0.3">
      <c r="A128" s="88"/>
      <c r="C128" s="60" t="s">
        <v>53</v>
      </c>
      <c r="D128" s="100">
        <f>$D$53*0.5</f>
        <v>1.0235294117647058</v>
      </c>
      <c r="E128" s="60"/>
      <c r="F128" s="100">
        <f>D128</f>
        <v>1.0235294117647058</v>
      </c>
      <c r="G128" s="102"/>
      <c r="H128" s="102"/>
      <c r="I128" s="102"/>
      <c r="J128" s="102"/>
      <c r="K128" s="102"/>
      <c r="M128" s="88"/>
    </row>
    <row r="129" spans="1:14" ht="22.05" customHeight="1" x14ac:dyDescent="0.3">
      <c r="A129" s="88"/>
      <c r="C129" s="60" t="s">
        <v>54</v>
      </c>
      <c r="D129" s="100">
        <f>$D$53*0.6</f>
        <v>1.2282352941176469</v>
      </c>
      <c r="E129" s="60"/>
      <c r="F129" s="100">
        <f>D129</f>
        <v>1.2282352941176469</v>
      </c>
      <c r="G129" s="102"/>
      <c r="H129" s="102"/>
      <c r="I129" s="102"/>
      <c r="J129" s="102"/>
      <c r="K129" s="102"/>
      <c r="M129" s="88"/>
    </row>
    <row r="130" spans="1:14" ht="22.05" customHeight="1" x14ac:dyDescent="0.3">
      <c r="A130" s="88"/>
      <c r="C130" s="100" t="s">
        <v>291</v>
      </c>
      <c r="D130" s="100">
        <f>$D$129*1.4</f>
        <v>1.7195294117647055</v>
      </c>
      <c r="E130" s="60"/>
      <c r="F130" s="100">
        <f t="shared" ref="F130:F133" si="2">D130</f>
        <v>1.7195294117647055</v>
      </c>
      <c r="G130" s="103"/>
      <c r="H130" s="102"/>
      <c r="I130" s="102"/>
      <c r="J130" s="102"/>
      <c r="K130" s="102"/>
      <c r="M130" s="88"/>
    </row>
    <row r="131" spans="1:14" ht="22.05" customHeight="1" x14ac:dyDescent="0.3">
      <c r="A131" s="88"/>
      <c r="C131" s="60" t="s">
        <v>55</v>
      </c>
      <c r="D131" s="100">
        <f>$D$53/0.75</f>
        <v>2.729411764705882</v>
      </c>
      <c r="E131" s="60"/>
      <c r="F131" s="100">
        <f t="shared" si="2"/>
        <v>2.729411764705882</v>
      </c>
      <c r="G131" s="102"/>
      <c r="H131" s="102"/>
      <c r="I131" s="102"/>
      <c r="J131" s="102"/>
      <c r="K131" s="102"/>
      <c r="M131" s="88"/>
    </row>
    <row r="132" spans="1:14" ht="22.05" customHeight="1" x14ac:dyDescent="0.3">
      <c r="A132" s="88"/>
      <c r="C132" s="60" t="s">
        <v>290</v>
      </c>
      <c r="D132" s="100">
        <f>$D$53*0.3</f>
        <v>0.61411764705882343</v>
      </c>
      <c r="E132" s="60"/>
      <c r="F132" s="100">
        <f t="shared" si="2"/>
        <v>0.61411764705882343</v>
      </c>
      <c r="G132" s="102"/>
      <c r="H132" s="102"/>
      <c r="I132" s="102"/>
      <c r="J132" s="102"/>
      <c r="K132" s="102"/>
      <c r="M132" s="88"/>
    </row>
    <row r="133" spans="1:14" ht="22.05" customHeight="1" x14ac:dyDescent="0.3">
      <c r="A133" s="88"/>
      <c r="C133" s="60" t="s">
        <v>292</v>
      </c>
      <c r="D133" s="100">
        <f>D53*0</f>
        <v>0</v>
      </c>
      <c r="E133" s="60"/>
      <c r="F133" s="100">
        <f t="shared" si="2"/>
        <v>0</v>
      </c>
      <c r="G133" s="102"/>
      <c r="H133" s="102"/>
      <c r="I133" s="102"/>
      <c r="J133" s="102"/>
      <c r="K133" s="102"/>
      <c r="M133" s="88"/>
    </row>
    <row r="134" spans="1:14" ht="22.05" customHeight="1" x14ac:dyDescent="0.3">
      <c r="A134" s="88"/>
      <c r="C134" s="91" t="s">
        <v>390</v>
      </c>
      <c r="D134" s="90"/>
      <c r="F134" s="90"/>
      <c r="M134" s="88"/>
      <c r="N134" s="108" t="s">
        <v>409</v>
      </c>
    </row>
    <row r="135" spans="1:14" ht="22.05" customHeight="1" x14ac:dyDescent="0.3">
      <c r="A135" s="88"/>
      <c r="M135" s="88"/>
    </row>
    <row r="136" spans="1:14" ht="8.1" customHeight="1" x14ac:dyDescent="0.3">
      <c r="A136" s="88"/>
      <c r="B136" s="88"/>
      <c r="C136" s="88"/>
      <c r="D136" s="88"/>
      <c r="E136" s="88"/>
      <c r="F136" s="88"/>
      <c r="G136" s="88"/>
      <c r="H136" s="88"/>
      <c r="I136" s="88"/>
      <c r="J136" s="88"/>
      <c r="K136" s="88"/>
      <c r="L136" s="88"/>
      <c r="M136" s="88"/>
    </row>
  </sheetData>
  <sheetProtection algorithmName="SHA-512" hashValue="4bYCjldWgsuVaA33DQLgTX9fn/40rhdaysZZkush/oXiBrYmZARItjD63nXB260TsMzf0wqFRJCjcToEwFJ1DA==" saltValue="mt4e7TGPbmVd261lAs6a3Q==" spinCount="100000" sheet="1" objects="1" scenarios="1"/>
  <mergeCells count="32">
    <mergeCell ref="D126:F126"/>
    <mergeCell ref="I117:K117"/>
    <mergeCell ref="C126:C127"/>
    <mergeCell ref="H117:H118"/>
    <mergeCell ref="I74:K74"/>
    <mergeCell ref="I84:K84"/>
    <mergeCell ref="I107:K107"/>
    <mergeCell ref="C117:C118"/>
    <mergeCell ref="D117:F117"/>
    <mergeCell ref="C107:C108"/>
    <mergeCell ref="D107:F107"/>
    <mergeCell ref="H107:H108"/>
    <mergeCell ref="C94:C95"/>
    <mergeCell ref="D94:F94"/>
    <mergeCell ref="D84:F84"/>
    <mergeCell ref="I94:K94"/>
    <mergeCell ref="I62:K62"/>
    <mergeCell ref="H50:H51"/>
    <mergeCell ref="I50:K50"/>
    <mergeCell ref="H74:H75"/>
    <mergeCell ref="C74:C75"/>
    <mergeCell ref="D74:F74"/>
    <mergeCell ref="C50:C51"/>
    <mergeCell ref="D50:F50"/>
    <mergeCell ref="C62:C63"/>
    <mergeCell ref="D62:F62"/>
    <mergeCell ref="H62:H63"/>
    <mergeCell ref="C44:D44"/>
    <mergeCell ref="C46:D46"/>
    <mergeCell ref="H94:H95"/>
    <mergeCell ref="C84:C85"/>
    <mergeCell ref="H84:H85"/>
  </mergeCells>
  <hyperlinks>
    <hyperlink ref="D4" location="Operations!A31" display="Operations" xr:uid="{00000000-0004-0000-0600-000000000000}"/>
    <hyperlink ref="D5" location="Operations!A48" display="Work rates:" xr:uid="{00000000-0004-0000-0600-000001000000}"/>
    <hyperlink ref="E5" location="Operations!A60" display="wheat" xr:uid="{00000000-0004-0000-0600-000002000000}"/>
    <hyperlink ref="F5" location="Operations!A72" display="barley" xr:uid="{F6D7FBA4-122D-4018-984E-2D0C53994B3D}"/>
    <hyperlink ref="G5" location="Operations!A82" display="beans" xr:uid="{1DF652C5-7A37-4B61-AFEB-1B4893414713}"/>
    <hyperlink ref="E6" location="Operations!A92" display="OSR" xr:uid="{0F298D59-2D67-44CB-B5C8-28842A4DDD6C}"/>
    <hyperlink ref="H5" location="Operations!A105" display="potatoes &amp; beet" xr:uid="{B50E65F9-874D-45D5-9E47-693825DAD3E4}"/>
    <hyperlink ref="F6" location="Operations!A115" display="linseed" xr:uid="{9E7CAF98-DEBA-4869-924E-038C2AC1581D}"/>
    <hyperlink ref="G6" location="Operations!A124" display="peas" xr:uid="{7F1D9879-A2E9-4998-9727-010E94DAF398}"/>
    <hyperlink ref="H6" location="Operations!A124" display="fallow" xr:uid="{EB4F3022-7EF2-4AE6-B68E-F3AC17C65998}"/>
    <hyperlink ref="E7" location="Operations!A135" display="cultivations" xr:uid="{662E9EEF-ACE0-4D2D-B164-D2780BA9A209}"/>
    <hyperlink ref="N59" location="Operations!A1" display="back to top ↑" xr:uid="{1D9399AE-3997-40A2-918D-D66C5E639450}"/>
    <hyperlink ref="N71" location="Operations!A1" display="back to top ↑" xr:uid="{2ABCBE1E-D997-4BCA-9825-4518046AB13A}"/>
    <hyperlink ref="N80" location="Operations!A1" display="back to top ↑" xr:uid="{10437242-9C5D-4B99-82CE-B2A0ACA5029C}"/>
    <hyperlink ref="N91" location="Operations!A1" display="back to top ↑" xr:uid="{F5999B47-EA3C-4F53-B555-FF42A4183883}"/>
    <hyperlink ref="N103" location="Operations!A1" display="back to top ↑" xr:uid="{7B48D313-0F85-4901-B126-2026933FDC55}"/>
    <hyperlink ref="N123" location="Operations!A1" display="back to top ↑" xr:uid="{79B19251-9433-407E-8EA6-6BCFF71FC415}"/>
    <hyperlink ref="N134" location="Operations!A1" display="back to top ↑" xr:uid="{29DDED48-57E4-4816-8AC4-201DE91D636E}"/>
    <hyperlink ref="N47" location="Operations!A1" display="back to top ↑" xr:uid="{7DB91A6B-E288-49C1-97DA-E50FC2C76AA8}"/>
    <hyperlink ref="N30" location="Operations!A1" display="back to top ↑" xr:uid="{E48C53C4-A1B5-4D47-AAE7-22CAD48C2360}"/>
    <hyperlink ref="N114" location="Operations!A1" display="back to top ↑" xr:uid="{DF9580B3-C91F-4A45-96E0-08F47D207D12}"/>
  </hyperlinks>
  <pageMargins left="0.7" right="0.7" top="0.75" bottom="0.75" header="0.3" footer="0.3"/>
  <pageSetup paperSize="9" orientation="portrait" r:id="rId1"/>
  <ignoredErrors>
    <ignoredError sqref="D81 D123 F123" evalError="1"/>
    <ignoredError sqref="F97 F102 I98 K97 K99 E46"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Model Details &amp; Assumptions</vt:lpstr>
      <vt:lpstr>Model Overview</vt:lpstr>
      <vt:lpstr>Model Input Variables</vt:lpstr>
      <vt:lpstr>Soil Index &amp; Farm Data</vt:lpstr>
      <vt:lpstr>Crop &amp; Tillage Labels</vt:lpstr>
      <vt:lpstr>Crop Data</vt:lpstr>
      <vt:lpstr>Default Data</vt:lpstr>
      <vt:lpstr>Machinery</vt:lpstr>
      <vt:lpstr>Operations &amp; Work Rates</vt:lpstr>
      <vt:lpstr>Yield Penalty | Black-grass</vt:lpstr>
      <vt:lpstr>Yield Penalty | Sowing Date</vt:lpstr>
      <vt:lpstr>Yield Penalty | Crop Rotations</vt:lpstr>
      <vt:lpstr>Data Sources &amp;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Alexa Varah</cp:lastModifiedBy>
  <dcterms:created xsi:type="dcterms:W3CDTF">2017-06-18T12:58:29Z</dcterms:created>
  <dcterms:modified xsi:type="dcterms:W3CDTF">2019-08-29T19:04:12Z</dcterms:modified>
</cp:coreProperties>
</file>